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202300"/>
  <mc:AlternateContent xmlns:mc="http://schemas.openxmlformats.org/markup-compatibility/2006">
    <mc:Choice Requires="x15">
      <x15ac:absPath xmlns:x15ac="http://schemas.microsoft.com/office/spreadsheetml/2010/11/ac" url="P:\Comp-Distribution Plans and Matrixes\2025\Guidance Drafts\Final Documents\"/>
    </mc:Choice>
  </mc:AlternateContent>
  <xr:revisionPtr revIDLastSave="0" documentId="13_ncr:1_{FB7B95BC-8262-468A-A811-C33A27FED2A9}" xr6:coauthVersionLast="47" xr6:coauthVersionMax="47" xr10:uidLastSave="{00000000-0000-0000-0000-000000000000}"/>
  <bookViews>
    <workbookView xWindow="-120" yWindow="-120" windowWidth="51840" windowHeight="21120" activeTab="1" xr2:uid="{023CC3CF-AC39-45F7-AD66-E785DD0C6AAF}"/>
  </bookViews>
  <sheets>
    <sheet name="Instructions" sheetId="8" r:id="rId1"/>
    <sheet name="Summary" sheetId="3" r:id="rId2"/>
    <sheet name="Staff" sheetId="2" r:id="rId3"/>
    <sheet name="FY25 Pay Schedules" sheetId="6" r:id="rId4"/>
    <sheet name="FY26 Pay Schedules" sheetId="5" r:id="rId5"/>
    <sheet name="Tables" sheetId="4" state="hidden" r:id="rId6"/>
  </sheets>
  <definedNames>
    <definedName name="_xlnm._FilterDatabase" localSheetId="2" hidden="1">Staff!$A$3:$AO$32</definedName>
    <definedName name="_xlnm._FilterDatabase" localSheetId="1" hidden="1">Summary!$A$6:$J$6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8" i="3" l="1"/>
  <c r="J9" i="3"/>
  <c r="J10" i="3"/>
  <c r="J7" i="3"/>
  <c r="AH1" i="2"/>
  <c r="I7" i="3"/>
  <c r="X5" i="2"/>
  <c r="AO5" i="2" s="1"/>
  <c r="X6" i="2"/>
  <c r="AO6" i="2" s="1"/>
  <c r="X7" i="2"/>
  <c r="X8" i="2"/>
  <c r="AO8" i="2" s="1"/>
  <c r="X9" i="2"/>
  <c r="X10" i="2"/>
  <c r="X11" i="2"/>
  <c r="X12" i="2"/>
  <c r="X13" i="2"/>
  <c r="X14" i="2"/>
  <c r="X15" i="2"/>
  <c r="X16" i="2"/>
  <c r="X17" i="2"/>
  <c r="AO17" i="2" s="1"/>
  <c r="X18" i="2"/>
  <c r="AO18" i="2" s="1"/>
  <c r="X19" i="2"/>
  <c r="AO19" i="2" s="1"/>
  <c r="X20" i="2"/>
  <c r="AO20" i="2" s="1"/>
  <c r="X21" i="2"/>
  <c r="AO21" i="2" s="1"/>
  <c r="X22" i="2"/>
  <c r="X23" i="2"/>
  <c r="AO23" i="2" s="1"/>
  <c r="X24" i="2"/>
  <c r="AO24" i="2" s="1"/>
  <c r="X25" i="2"/>
  <c r="AO25" i="2" s="1"/>
  <c r="X26" i="2"/>
  <c r="AO26" i="2" s="1"/>
  <c r="X27" i="2"/>
  <c r="AO27" i="2" s="1"/>
  <c r="X28" i="2"/>
  <c r="X29" i="2"/>
  <c r="AO29" i="2" s="1"/>
  <c r="X30" i="2"/>
  <c r="AO30" i="2" s="1"/>
  <c r="X31" i="2"/>
  <c r="X32" i="2"/>
  <c r="AO32" i="2" s="1"/>
  <c r="X4" i="2"/>
  <c r="AO4" i="2" s="1"/>
  <c r="AE1" i="2"/>
  <c r="Z1" i="2"/>
  <c r="K1" i="2"/>
  <c r="D5" i="3"/>
  <c r="E5" i="3"/>
  <c r="AA4" i="2"/>
  <c r="AP4" i="2" s="1"/>
  <c r="AL10" i="2"/>
  <c r="AL5" i="2"/>
  <c r="AL6" i="2"/>
  <c r="AL7" i="2"/>
  <c r="AL8" i="2"/>
  <c r="AL9" i="2"/>
  <c r="AL11" i="2"/>
  <c r="AL12" i="2"/>
  <c r="AL13" i="2"/>
  <c r="AL14" i="2"/>
  <c r="AL15" i="2"/>
  <c r="AL16" i="2"/>
  <c r="AL17" i="2"/>
  <c r="AL18" i="2"/>
  <c r="AL19" i="2"/>
  <c r="AL20" i="2"/>
  <c r="AL21" i="2"/>
  <c r="AL22" i="2"/>
  <c r="AL23" i="2"/>
  <c r="AL24" i="2"/>
  <c r="AL25" i="2"/>
  <c r="AL26" i="2"/>
  <c r="AL27" i="2"/>
  <c r="AL28" i="2"/>
  <c r="AL29" i="2"/>
  <c r="AL30" i="2"/>
  <c r="AL31" i="2"/>
  <c r="AL32" i="2"/>
  <c r="AL4" i="2"/>
  <c r="Y45" i="6"/>
  <c r="W45" i="6"/>
  <c r="V45" i="6"/>
  <c r="U45" i="6"/>
  <c r="T45" i="6"/>
  <c r="S45" i="6"/>
  <c r="M45" i="6"/>
  <c r="K45" i="6"/>
  <c r="J45" i="6"/>
  <c r="I45" i="6"/>
  <c r="H45" i="6"/>
  <c r="G45" i="6"/>
  <c r="Y44" i="6"/>
  <c r="W44" i="6"/>
  <c r="V44" i="6"/>
  <c r="U44" i="6"/>
  <c r="T44" i="6"/>
  <c r="S44" i="6"/>
  <c r="M44" i="6"/>
  <c r="K44" i="6"/>
  <c r="H44" i="6" s="1"/>
  <c r="J44" i="6"/>
  <c r="I44" i="6"/>
  <c r="G44" i="6"/>
  <c r="Y43" i="6"/>
  <c r="W43" i="6"/>
  <c r="V43" i="6"/>
  <c r="U43" i="6"/>
  <c r="T43" i="6"/>
  <c r="Q43" i="6"/>
  <c r="M43" i="6"/>
  <c r="J43" i="6" s="1"/>
  <c r="K43" i="6"/>
  <c r="I43" i="6"/>
  <c r="H43" i="6"/>
  <c r="Y42" i="6"/>
  <c r="W42" i="6"/>
  <c r="V42" i="6"/>
  <c r="U42" i="6"/>
  <c r="T42" i="6"/>
  <c r="S42" i="6"/>
  <c r="M42" i="6"/>
  <c r="K42" i="6"/>
  <c r="J42" i="6"/>
  <c r="I42" i="6"/>
  <c r="H42" i="6"/>
  <c r="G42" i="6"/>
  <c r="E43" i="6" s="1"/>
  <c r="Y41" i="6"/>
  <c r="W41" i="6"/>
  <c r="V41" i="6"/>
  <c r="U41" i="6"/>
  <c r="T41" i="6"/>
  <c r="S41" i="6"/>
  <c r="M41" i="6"/>
  <c r="K41" i="6"/>
  <c r="J41" i="6"/>
  <c r="I41" i="6"/>
  <c r="H41" i="6"/>
  <c r="G41" i="6"/>
  <c r="Y40" i="6"/>
  <c r="W40" i="6"/>
  <c r="T40" i="6" s="1"/>
  <c r="V40" i="6"/>
  <c r="U40" i="6"/>
  <c r="M40" i="6"/>
  <c r="K40" i="6"/>
  <c r="J40" i="6"/>
  <c r="I40" i="6"/>
  <c r="H40" i="6"/>
  <c r="Y39" i="6"/>
  <c r="W39" i="6"/>
  <c r="V39" i="6"/>
  <c r="U39" i="6"/>
  <c r="T39" i="6"/>
  <c r="M39" i="6"/>
  <c r="K39" i="6"/>
  <c r="J39" i="6"/>
  <c r="I39" i="6"/>
  <c r="H39" i="6"/>
  <c r="Y38" i="6"/>
  <c r="W38" i="6"/>
  <c r="V38" i="6"/>
  <c r="U38" i="6"/>
  <c r="T38" i="6"/>
  <c r="M38" i="6"/>
  <c r="K38" i="6"/>
  <c r="J38" i="6"/>
  <c r="I38" i="6"/>
  <c r="H38" i="6"/>
  <c r="Y37" i="6"/>
  <c r="W37" i="6"/>
  <c r="V37" i="6"/>
  <c r="U37" i="6"/>
  <c r="T37" i="6"/>
  <c r="M37" i="6"/>
  <c r="J37" i="6" s="1"/>
  <c r="K37" i="6"/>
  <c r="I37" i="6"/>
  <c r="H37" i="6"/>
  <c r="Y36" i="6"/>
  <c r="W36" i="6"/>
  <c r="V36" i="6"/>
  <c r="U36" i="6"/>
  <c r="T36" i="6"/>
  <c r="M36" i="6"/>
  <c r="K36" i="6"/>
  <c r="J36" i="6"/>
  <c r="I36" i="6"/>
  <c r="H36" i="6"/>
  <c r="Y35" i="6"/>
  <c r="W35" i="6"/>
  <c r="V35" i="6"/>
  <c r="U35" i="6"/>
  <c r="T35" i="6"/>
  <c r="M35" i="6"/>
  <c r="J35" i="6" s="1"/>
  <c r="K35" i="6"/>
  <c r="H35" i="6" s="1"/>
  <c r="I35" i="6"/>
  <c r="Y34" i="6"/>
  <c r="W34" i="6"/>
  <c r="V34" i="6"/>
  <c r="U34" i="6"/>
  <c r="T34" i="6"/>
  <c r="M34" i="6"/>
  <c r="K34" i="6"/>
  <c r="H34" i="6" s="1"/>
  <c r="J34" i="6"/>
  <c r="I34" i="6"/>
  <c r="Y33" i="6"/>
  <c r="W33" i="6"/>
  <c r="V33" i="6"/>
  <c r="U33" i="6"/>
  <c r="T33" i="6"/>
  <c r="M33" i="6"/>
  <c r="K33" i="6"/>
  <c r="J33" i="6"/>
  <c r="I33" i="6"/>
  <c r="H33" i="6"/>
  <c r="Y32" i="6"/>
  <c r="W32" i="6"/>
  <c r="V32" i="6"/>
  <c r="U32" i="6"/>
  <c r="T32" i="6"/>
  <c r="M32" i="6"/>
  <c r="K32" i="6"/>
  <c r="H32" i="6" s="1"/>
  <c r="J32" i="6"/>
  <c r="I32" i="6"/>
  <c r="Y31" i="6"/>
  <c r="W31" i="6"/>
  <c r="V31" i="6"/>
  <c r="U31" i="6"/>
  <c r="T31" i="6"/>
  <c r="M31" i="6"/>
  <c r="K31" i="6"/>
  <c r="J31" i="6"/>
  <c r="I31" i="6"/>
  <c r="H31" i="6"/>
  <c r="Y30" i="6"/>
  <c r="W30" i="6"/>
  <c r="V30" i="6"/>
  <c r="U30" i="6"/>
  <c r="T30" i="6"/>
  <c r="M30" i="6"/>
  <c r="K30" i="6"/>
  <c r="J30" i="6"/>
  <c r="I30" i="6"/>
  <c r="H30" i="6"/>
  <c r="Y29" i="6"/>
  <c r="W29" i="6"/>
  <c r="V29" i="6"/>
  <c r="U29" i="6"/>
  <c r="M29" i="6"/>
  <c r="K29" i="6"/>
  <c r="J29" i="6"/>
  <c r="I29" i="6"/>
  <c r="Y21" i="6"/>
  <c r="W21" i="6"/>
  <c r="T21" i="6" s="1"/>
  <c r="V21" i="6"/>
  <c r="U21" i="6"/>
  <c r="S21" i="6"/>
  <c r="M21" i="6"/>
  <c r="K21" i="6"/>
  <c r="J21" i="6"/>
  <c r="I21" i="6"/>
  <c r="H21" i="6"/>
  <c r="G21" i="6"/>
  <c r="Y20" i="6"/>
  <c r="V20" i="6" s="1"/>
  <c r="W20" i="6"/>
  <c r="T20" i="6" s="1"/>
  <c r="U20" i="6"/>
  <c r="S20" i="6"/>
  <c r="M20" i="6"/>
  <c r="K20" i="6"/>
  <c r="J20" i="6"/>
  <c r="I20" i="6"/>
  <c r="H20" i="6"/>
  <c r="G20" i="6"/>
  <c r="Y19" i="6"/>
  <c r="W19" i="6"/>
  <c r="V19" i="6"/>
  <c r="U19" i="6"/>
  <c r="T19" i="6"/>
  <c r="Q19" i="6"/>
  <c r="M19" i="6"/>
  <c r="K19" i="6"/>
  <c r="J19" i="6"/>
  <c r="I19" i="6"/>
  <c r="H19" i="6"/>
  <c r="E19" i="6"/>
  <c r="Y18" i="6"/>
  <c r="W18" i="6"/>
  <c r="V18" i="6"/>
  <c r="U18" i="6"/>
  <c r="T18" i="6"/>
  <c r="S18" i="6"/>
  <c r="M18" i="6"/>
  <c r="K18" i="6"/>
  <c r="H18" i="6" s="1"/>
  <c r="J18" i="6"/>
  <c r="I18" i="6"/>
  <c r="G18" i="6"/>
  <c r="Y17" i="6"/>
  <c r="W17" i="6"/>
  <c r="V17" i="6"/>
  <c r="U17" i="6"/>
  <c r="T17" i="6"/>
  <c r="S17" i="6"/>
  <c r="M17" i="6"/>
  <c r="K17" i="6"/>
  <c r="J17" i="6"/>
  <c r="I17" i="6"/>
  <c r="H17" i="6"/>
  <c r="G17" i="6"/>
  <c r="Y16" i="6"/>
  <c r="W16" i="6"/>
  <c r="V16" i="6"/>
  <c r="U16" i="6"/>
  <c r="T16" i="6"/>
  <c r="M16" i="6"/>
  <c r="J16" i="6" s="1"/>
  <c r="K16" i="6"/>
  <c r="H16" i="6" s="1"/>
  <c r="I16" i="6"/>
  <c r="Y15" i="6"/>
  <c r="W15" i="6"/>
  <c r="V15" i="6"/>
  <c r="U15" i="6"/>
  <c r="T15" i="6"/>
  <c r="M15" i="6"/>
  <c r="K15" i="6"/>
  <c r="H15" i="6" s="1"/>
  <c r="J15" i="6"/>
  <c r="I15" i="6"/>
  <c r="Y14" i="6"/>
  <c r="W14" i="6"/>
  <c r="V14" i="6"/>
  <c r="U14" i="6"/>
  <c r="T14" i="6"/>
  <c r="M14" i="6"/>
  <c r="K14" i="6"/>
  <c r="J14" i="6"/>
  <c r="I14" i="6"/>
  <c r="H14" i="6"/>
  <c r="Y13" i="6"/>
  <c r="W13" i="6"/>
  <c r="V13" i="6"/>
  <c r="U13" i="6"/>
  <c r="T13" i="6"/>
  <c r="M13" i="6"/>
  <c r="K13" i="6"/>
  <c r="H13" i="6" s="1"/>
  <c r="J13" i="6"/>
  <c r="I13" i="6"/>
  <c r="Y12" i="6"/>
  <c r="W12" i="6"/>
  <c r="V12" i="6"/>
  <c r="U12" i="6"/>
  <c r="T12" i="6"/>
  <c r="M12" i="6"/>
  <c r="K12" i="6"/>
  <c r="J12" i="6"/>
  <c r="I12" i="6"/>
  <c r="H12" i="6"/>
  <c r="Y11" i="6"/>
  <c r="W11" i="6"/>
  <c r="V11" i="6"/>
  <c r="U11" i="6"/>
  <c r="T11" i="6"/>
  <c r="M11" i="6"/>
  <c r="K11" i="6"/>
  <c r="J11" i="6"/>
  <c r="I11" i="6"/>
  <c r="H11" i="6"/>
  <c r="Y10" i="6"/>
  <c r="W10" i="6"/>
  <c r="V10" i="6"/>
  <c r="U10" i="6"/>
  <c r="T10" i="6"/>
  <c r="M10" i="6"/>
  <c r="K10" i="6"/>
  <c r="J10" i="6"/>
  <c r="I10" i="6"/>
  <c r="H10" i="6"/>
  <c r="Y9" i="6"/>
  <c r="V9" i="6" s="1"/>
  <c r="W9" i="6"/>
  <c r="U9" i="6"/>
  <c r="T9" i="6"/>
  <c r="M9" i="6"/>
  <c r="K9" i="6"/>
  <c r="J9" i="6"/>
  <c r="I9" i="6"/>
  <c r="H9" i="6"/>
  <c r="Y8" i="6"/>
  <c r="V8" i="6" s="1"/>
  <c r="W8" i="6"/>
  <c r="T8" i="6" s="1"/>
  <c r="U8" i="6"/>
  <c r="M8" i="6"/>
  <c r="K8" i="6"/>
  <c r="J8" i="6"/>
  <c r="I8" i="6"/>
  <c r="H8" i="6"/>
  <c r="Y7" i="6"/>
  <c r="W7" i="6"/>
  <c r="V7" i="6"/>
  <c r="U7" i="6"/>
  <c r="T7" i="6"/>
  <c r="M7" i="6"/>
  <c r="K7" i="6"/>
  <c r="J7" i="6"/>
  <c r="I7" i="6"/>
  <c r="H7" i="6"/>
  <c r="Y6" i="6"/>
  <c r="W6" i="6"/>
  <c r="T6" i="6" s="1"/>
  <c r="V6" i="6"/>
  <c r="U6" i="6"/>
  <c r="M6" i="6"/>
  <c r="K6" i="6"/>
  <c r="J6" i="6"/>
  <c r="I6" i="6"/>
  <c r="H6" i="6"/>
  <c r="Y5" i="6"/>
  <c r="W5" i="6"/>
  <c r="V5" i="6"/>
  <c r="U5" i="6"/>
  <c r="M5" i="6"/>
  <c r="K5" i="6"/>
  <c r="J5" i="6"/>
  <c r="I5" i="6"/>
  <c r="AA5" i="2"/>
  <c r="AA6" i="2"/>
  <c r="AP6" i="2" s="1"/>
  <c r="AA7" i="2"/>
  <c r="AP7" i="2" s="1"/>
  <c r="AA8" i="2"/>
  <c r="AP8" i="2" s="1"/>
  <c r="AA9" i="2"/>
  <c r="AP9" i="2" s="1"/>
  <c r="AA10" i="2"/>
  <c r="AP10" i="2" s="1"/>
  <c r="AA11" i="2"/>
  <c r="AP11" i="2" s="1"/>
  <c r="AA12" i="2"/>
  <c r="AP12" i="2" s="1"/>
  <c r="AA13" i="2"/>
  <c r="AP13" i="2" s="1"/>
  <c r="AA14" i="2"/>
  <c r="AP14" i="2" s="1"/>
  <c r="AA15" i="2"/>
  <c r="AP15" i="2" s="1"/>
  <c r="AA16" i="2"/>
  <c r="AP16" i="2" s="1"/>
  <c r="AA17" i="2"/>
  <c r="AP17" i="2" s="1"/>
  <c r="AA18" i="2"/>
  <c r="AP18" i="2" s="1"/>
  <c r="AA19" i="2"/>
  <c r="AP19" i="2" s="1"/>
  <c r="AA20" i="2"/>
  <c r="AP20" i="2" s="1"/>
  <c r="AA21" i="2"/>
  <c r="AP21" i="2" s="1"/>
  <c r="AA22" i="2"/>
  <c r="AP22" i="2" s="1"/>
  <c r="AA23" i="2"/>
  <c r="AP23" i="2" s="1"/>
  <c r="AA24" i="2"/>
  <c r="AP24" i="2" s="1"/>
  <c r="AA25" i="2"/>
  <c r="AP25" i="2" s="1"/>
  <c r="AA26" i="2"/>
  <c r="AP26" i="2" s="1"/>
  <c r="AA27" i="2"/>
  <c r="AP27" i="2" s="1"/>
  <c r="AA28" i="2"/>
  <c r="AP28" i="2" s="1"/>
  <c r="AA29" i="2"/>
  <c r="AP29" i="2" s="1"/>
  <c r="AA31" i="2"/>
  <c r="AP31" i="2" s="1"/>
  <c r="AA32" i="2"/>
  <c r="AP32" i="2" s="1"/>
  <c r="AA30" i="2"/>
  <c r="AP30" i="2" s="1"/>
  <c r="R5" i="2"/>
  <c r="R6" i="2"/>
  <c r="R7" i="2"/>
  <c r="R8" i="2"/>
  <c r="R9" i="2"/>
  <c r="R10" i="2"/>
  <c r="R11" i="2"/>
  <c r="R12" i="2"/>
  <c r="R13" i="2"/>
  <c r="R14" i="2"/>
  <c r="R15" i="2"/>
  <c r="R16" i="2"/>
  <c r="R17" i="2"/>
  <c r="R18" i="2"/>
  <c r="R19" i="2"/>
  <c r="R20" i="2"/>
  <c r="R21" i="2"/>
  <c r="R22" i="2"/>
  <c r="R23" i="2"/>
  <c r="R24" i="2"/>
  <c r="R25" i="2"/>
  <c r="R26" i="2"/>
  <c r="R27" i="2"/>
  <c r="R28" i="2"/>
  <c r="R29" i="2"/>
  <c r="R30" i="2"/>
  <c r="R31" i="2"/>
  <c r="R32" i="2"/>
  <c r="R4" i="2"/>
  <c r="S26" i="2"/>
  <c r="S29" i="2"/>
  <c r="AO12" i="2"/>
  <c r="AO22" i="2"/>
  <c r="AO28" i="2"/>
  <c r="AO31" i="2"/>
  <c r="Y44" i="5"/>
  <c r="W44" i="5"/>
  <c r="V44" i="5"/>
  <c r="U44" i="5"/>
  <c r="T44" i="5"/>
  <c r="S44" i="5"/>
  <c r="Y43" i="5"/>
  <c r="V43" i="5" s="1"/>
  <c r="W43" i="5"/>
  <c r="T43" i="5" s="1"/>
  <c r="U43" i="5"/>
  <c r="S43" i="5"/>
  <c r="Y42" i="5"/>
  <c r="W42" i="5"/>
  <c r="T42" i="5" s="1"/>
  <c r="V42" i="5"/>
  <c r="U42" i="5"/>
  <c r="Y41" i="5"/>
  <c r="V41" i="5" s="1"/>
  <c r="W41" i="5"/>
  <c r="T41" i="5" s="1"/>
  <c r="U41" i="5"/>
  <c r="S41" i="5"/>
  <c r="Q42" i="5" s="1"/>
  <c r="Y40" i="5"/>
  <c r="W40" i="5"/>
  <c r="V40" i="5"/>
  <c r="U40" i="5"/>
  <c r="T40" i="5"/>
  <c r="S40" i="5"/>
  <c r="Y39" i="5"/>
  <c r="V39" i="5" s="1"/>
  <c r="W39" i="5"/>
  <c r="T39" i="5" s="1"/>
  <c r="U39" i="5"/>
  <c r="Y38" i="5"/>
  <c r="W38" i="5"/>
  <c r="V38" i="5"/>
  <c r="U38" i="5"/>
  <c r="T38" i="5"/>
  <c r="Y37" i="5"/>
  <c r="W37" i="5"/>
  <c r="V37" i="5"/>
  <c r="U37" i="5"/>
  <c r="T37" i="5"/>
  <c r="Y36" i="5"/>
  <c r="V36" i="5" s="1"/>
  <c r="W36" i="5"/>
  <c r="T36" i="5" s="1"/>
  <c r="U36" i="5"/>
  <c r="Y35" i="5"/>
  <c r="V35" i="5" s="1"/>
  <c r="W35" i="5"/>
  <c r="T35" i="5" s="1"/>
  <c r="U35" i="5"/>
  <c r="Y34" i="5"/>
  <c r="V34" i="5" s="1"/>
  <c r="W34" i="5"/>
  <c r="T34" i="5" s="1"/>
  <c r="U34" i="5"/>
  <c r="Y33" i="5"/>
  <c r="W33" i="5"/>
  <c r="T33" i="5" s="1"/>
  <c r="V33" i="5"/>
  <c r="U33" i="5"/>
  <c r="Y32" i="5"/>
  <c r="V32" i="5" s="1"/>
  <c r="W32" i="5"/>
  <c r="T32" i="5" s="1"/>
  <c r="U32" i="5"/>
  <c r="Y31" i="5"/>
  <c r="V31" i="5" s="1"/>
  <c r="W31" i="5"/>
  <c r="U31" i="5"/>
  <c r="T31" i="5"/>
  <c r="Y30" i="5"/>
  <c r="W30" i="5"/>
  <c r="V30" i="5"/>
  <c r="U30" i="5"/>
  <c r="T30" i="5"/>
  <c r="Y29" i="5"/>
  <c r="W29" i="5"/>
  <c r="V29" i="5"/>
  <c r="U29" i="5"/>
  <c r="T29" i="5"/>
  <c r="Y28" i="5"/>
  <c r="V28" i="5" s="1"/>
  <c r="W28" i="5"/>
  <c r="U28" i="5"/>
  <c r="Y21" i="5"/>
  <c r="V21" i="5" s="1"/>
  <c r="W21" i="5"/>
  <c r="T21" i="5" s="1"/>
  <c r="U21" i="5"/>
  <c r="S21" i="5"/>
  <c r="Y20" i="5"/>
  <c r="W20" i="5"/>
  <c r="T20" i="5" s="1"/>
  <c r="V20" i="5"/>
  <c r="U20" i="5"/>
  <c r="S20" i="5"/>
  <c r="Y19" i="5"/>
  <c r="V19" i="5" s="1"/>
  <c r="W19" i="5"/>
  <c r="T19" i="5" s="1"/>
  <c r="U19" i="5"/>
  <c r="Y18" i="5"/>
  <c r="W18" i="5"/>
  <c r="V18" i="5"/>
  <c r="U18" i="5"/>
  <c r="T18" i="5"/>
  <c r="S18" i="5"/>
  <c r="Q19" i="5" s="1"/>
  <c r="Y17" i="5"/>
  <c r="W17" i="5"/>
  <c r="V17" i="5"/>
  <c r="U17" i="5"/>
  <c r="T17" i="5"/>
  <c r="S17" i="5"/>
  <c r="Y16" i="5"/>
  <c r="V16" i="5" s="1"/>
  <c r="W16" i="5"/>
  <c r="T16" i="5" s="1"/>
  <c r="U16" i="5"/>
  <c r="Y15" i="5"/>
  <c r="V15" i="5" s="1"/>
  <c r="W15" i="5"/>
  <c r="T15" i="5" s="1"/>
  <c r="U15" i="5"/>
  <c r="Y14" i="5"/>
  <c r="W14" i="5"/>
  <c r="T14" i="5" s="1"/>
  <c r="V14" i="5"/>
  <c r="U14" i="5"/>
  <c r="Y13" i="5"/>
  <c r="V13" i="5" s="1"/>
  <c r="W13" i="5"/>
  <c r="T13" i="5" s="1"/>
  <c r="U13" i="5"/>
  <c r="Y12" i="5"/>
  <c r="V12" i="5" s="1"/>
  <c r="W12" i="5"/>
  <c r="T12" i="5" s="1"/>
  <c r="U12" i="5"/>
  <c r="Y11" i="5"/>
  <c r="V11" i="5" s="1"/>
  <c r="W11" i="5"/>
  <c r="T11" i="5" s="1"/>
  <c r="U11" i="5"/>
  <c r="Y10" i="5"/>
  <c r="W10" i="5"/>
  <c r="T10" i="5" s="1"/>
  <c r="V10" i="5"/>
  <c r="U10" i="5"/>
  <c r="Y9" i="5"/>
  <c r="W9" i="5"/>
  <c r="T9" i="5" s="1"/>
  <c r="V9" i="5"/>
  <c r="U9" i="5"/>
  <c r="Y8" i="5"/>
  <c r="V8" i="5" s="1"/>
  <c r="W8" i="5"/>
  <c r="U8" i="5"/>
  <c r="T8" i="5"/>
  <c r="Y7" i="5"/>
  <c r="V7" i="5" s="1"/>
  <c r="W7" i="5"/>
  <c r="T7" i="5" s="1"/>
  <c r="U7" i="5"/>
  <c r="Y6" i="5"/>
  <c r="V6" i="5" s="1"/>
  <c r="W6" i="5"/>
  <c r="U6" i="5"/>
  <c r="T6" i="5"/>
  <c r="Y5" i="5"/>
  <c r="V5" i="5" s="1"/>
  <c r="W5" i="5"/>
  <c r="U5" i="5"/>
  <c r="M44" i="5"/>
  <c r="J44" i="5" s="1"/>
  <c r="K44" i="5"/>
  <c r="I44" i="5"/>
  <c r="H44" i="5"/>
  <c r="G44" i="5"/>
  <c r="M43" i="5"/>
  <c r="J43" i="5" s="1"/>
  <c r="K43" i="5"/>
  <c r="H43" i="5" s="1"/>
  <c r="I43" i="5"/>
  <c r="G43" i="5"/>
  <c r="M42" i="5"/>
  <c r="J42" i="5" s="1"/>
  <c r="K42" i="5"/>
  <c r="H42" i="5" s="1"/>
  <c r="I42" i="5"/>
  <c r="M41" i="5"/>
  <c r="K41" i="5"/>
  <c r="H41" i="5" s="1"/>
  <c r="J41" i="5"/>
  <c r="I41" i="5"/>
  <c r="G41" i="5"/>
  <c r="E42" i="5" s="1"/>
  <c r="M40" i="5"/>
  <c r="K40" i="5"/>
  <c r="H40" i="5" s="1"/>
  <c r="J40" i="5"/>
  <c r="I40" i="5"/>
  <c r="G40" i="5"/>
  <c r="M39" i="5"/>
  <c r="J39" i="5" s="1"/>
  <c r="K39" i="5"/>
  <c r="H39" i="5" s="1"/>
  <c r="I39" i="5"/>
  <c r="M38" i="5"/>
  <c r="J38" i="5" s="1"/>
  <c r="K38" i="5"/>
  <c r="H38" i="5" s="1"/>
  <c r="I38" i="5"/>
  <c r="M37" i="5"/>
  <c r="J37" i="5" s="1"/>
  <c r="K37" i="5"/>
  <c r="H37" i="5" s="1"/>
  <c r="I37" i="5"/>
  <c r="M36" i="5"/>
  <c r="K36" i="5"/>
  <c r="H36" i="5" s="1"/>
  <c r="J36" i="5"/>
  <c r="I36" i="5"/>
  <c r="M35" i="5"/>
  <c r="J35" i="5" s="1"/>
  <c r="K35" i="5"/>
  <c r="H35" i="5" s="1"/>
  <c r="I35" i="5"/>
  <c r="M34" i="5"/>
  <c r="J34" i="5" s="1"/>
  <c r="K34" i="5"/>
  <c r="I34" i="5"/>
  <c r="H34" i="5"/>
  <c r="M33" i="5"/>
  <c r="J33" i="5" s="1"/>
  <c r="K33" i="5"/>
  <c r="H33" i="5" s="1"/>
  <c r="I33" i="5"/>
  <c r="M32" i="5"/>
  <c r="J32" i="5" s="1"/>
  <c r="K32" i="5"/>
  <c r="I32" i="5"/>
  <c r="H32" i="5"/>
  <c r="M31" i="5"/>
  <c r="J31" i="5" s="1"/>
  <c r="K31" i="5"/>
  <c r="H31" i="5" s="1"/>
  <c r="I31" i="5"/>
  <c r="M30" i="5"/>
  <c r="J30" i="5" s="1"/>
  <c r="K30" i="5"/>
  <c r="H30" i="5" s="1"/>
  <c r="I30" i="5"/>
  <c r="M29" i="5"/>
  <c r="K29" i="5"/>
  <c r="H29" i="5" s="1"/>
  <c r="J29" i="5"/>
  <c r="I29" i="5"/>
  <c r="M28" i="5"/>
  <c r="J28" i="5" s="1"/>
  <c r="K28" i="5"/>
  <c r="I28" i="5"/>
  <c r="M21" i="5"/>
  <c r="K21" i="5"/>
  <c r="J21" i="5"/>
  <c r="I21" i="5"/>
  <c r="H21" i="5"/>
  <c r="G21" i="5"/>
  <c r="M20" i="5"/>
  <c r="J20" i="5" s="1"/>
  <c r="K20" i="5"/>
  <c r="H20" i="5" s="1"/>
  <c r="I20" i="5"/>
  <c r="G20" i="5"/>
  <c r="M19" i="5"/>
  <c r="K19" i="5"/>
  <c r="J19" i="5"/>
  <c r="I19" i="5"/>
  <c r="H19" i="5"/>
  <c r="M18" i="5"/>
  <c r="J18" i="5" s="1"/>
  <c r="K18" i="5"/>
  <c r="H18" i="5" s="1"/>
  <c r="I18" i="5"/>
  <c r="G18" i="5"/>
  <c r="E19" i="5" s="1"/>
  <c r="M17" i="5"/>
  <c r="J17" i="5" s="1"/>
  <c r="K17" i="5"/>
  <c r="I17" i="5"/>
  <c r="H17" i="5"/>
  <c r="G17" i="5"/>
  <c r="M16" i="5"/>
  <c r="J16" i="5" s="1"/>
  <c r="K16" i="5"/>
  <c r="H16" i="5" s="1"/>
  <c r="I16" i="5"/>
  <c r="M15" i="5"/>
  <c r="J15" i="5" s="1"/>
  <c r="K15" i="5"/>
  <c r="I15" i="5"/>
  <c r="H15" i="5"/>
  <c r="M14" i="5"/>
  <c r="J14" i="5" s="1"/>
  <c r="K14" i="5"/>
  <c r="I14" i="5"/>
  <c r="H14" i="5"/>
  <c r="M13" i="5"/>
  <c r="J13" i="5" s="1"/>
  <c r="K13" i="5"/>
  <c r="H13" i="5" s="1"/>
  <c r="I13" i="5"/>
  <c r="M12" i="5"/>
  <c r="J12" i="5" s="1"/>
  <c r="K12" i="5"/>
  <c r="H12" i="5" s="1"/>
  <c r="I12" i="5"/>
  <c r="M11" i="5"/>
  <c r="K11" i="5"/>
  <c r="J11" i="5"/>
  <c r="I11" i="5"/>
  <c r="H11" i="5"/>
  <c r="M10" i="5"/>
  <c r="J10" i="5" s="1"/>
  <c r="K10" i="5"/>
  <c r="H10" i="5" s="1"/>
  <c r="I10" i="5"/>
  <c r="M9" i="5"/>
  <c r="J9" i="5" s="1"/>
  <c r="K9" i="5"/>
  <c r="H9" i="5" s="1"/>
  <c r="I9" i="5"/>
  <c r="M8" i="5"/>
  <c r="K8" i="5"/>
  <c r="H8" i="5" s="1"/>
  <c r="J8" i="5"/>
  <c r="I8" i="5"/>
  <c r="M7" i="5"/>
  <c r="J7" i="5" s="1"/>
  <c r="K7" i="5"/>
  <c r="H7" i="5" s="1"/>
  <c r="I7" i="5"/>
  <c r="M6" i="5"/>
  <c r="K6" i="5"/>
  <c r="J6" i="5"/>
  <c r="I6" i="5"/>
  <c r="H6" i="5"/>
  <c r="M5" i="5"/>
  <c r="J5" i="5" s="1"/>
  <c r="K5" i="5"/>
  <c r="I5" i="5"/>
  <c r="S28" i="2"/>
  <c r="S27" i="2"/>
  <c r="S25" i="2"/>
  <c r="S24" i="2"/>
  <c r="S23" i="2"/>
  <c r="S22" i="2"/>
  <c r="S21" i="2"/>
  <c r="S20" i="2"/>
  <c r="S19" i="2"/>
  <c r="S18" i="2"/>
  <c r="S17" i="2"/>
  <c r="S16" i="2"/>
  <c r="S15" i="2"/>
  <c r="S14" i="2"/>
  <c r="S13" i="2"/>
  <c r="S12" i="2"/>
  <c r="S11" i="2"/>
  <c r="S10" i="2"/>
  <c r="S9" i="2"/>
  <c r="S8" i="2"/>
  <c r="S7" i="2"/>
  <c r="S6" i="2"/>
  <c r="S5" i="2"/>
  <c r="S4" i="2"/>
  <c r="S32" i="2"/>
  <c r="S31" i="2"/>
  <c r="S30" i="2"/>
  <c r="F9" i="3" l="1"/>
  <c r="G9" i="3" s="1"/>
  <c r="H9" i="3"/>
  <c r="Y13" i="2"/>
  <c r="F10" i="3"/>
  <c r="G10" i="3" s="1"/>
  <c r="H10" i="3"/>
  <c r="AA1" i="2"/>
  <c r="AB4" i="2"/>
  <c r="AD4" i="2" s="1"/>
  <c r="Y16" i="2"/>
  <c r="S1" i="2"/>
  <c r="AB11" i="2"/>
  <c r="AD11" i="2" s="1"/>
  <c r="AL1" i="2"/>
  <c r="AB10" i="2"/>
  <c r="AD10" i="2" s="1"/>
  <c r="AB9" i="2"/>
  <c r="AD9" i="2" s="1"/>
  <c r="H8" i="3"/>
  <c r="Y20" i="2"/>
  <c r="AP5" i="2"/>
  <c r="H7" i="3" s="1"/>
  <c r="Y7" i="2"/>
  <c r="X1" i="2"/>
  <c r="AO11" i="2"/>
  <c r="AO10" i="2"/>
  <c r="AO13" i="2"/>
  <c r="AO9" i="2"/>
  <c r="AO15" i="2"/>
  <c r="AF30" i="2"/>
  <c r="AG30" i="2" s="1"/>
  <c r="AO16" i="2"/>
  <c r="AO14" i="2"/>
  <c r="AO7" i="2"/>
  <c r="F7" i="3" s="1"/>
  <c r="AF12" i="2"/>
  <c r="AF28" i="2"/>
  <c r="AB8" i="2"/>
  <c r="AF25" i="2"/>
  <c r="AG25" i="2" s="1"/>
  <c r="AF32" i="2"/>
  <c r="AG32" i="2" s="1"/>
  <c r="AF23" i="2"/>
  <c r="AF24" i="2"/>
  <c r="AG24" i="2" s="1"/>
  <c r="Y12" i="2"/>
  <c r="AF22" i="2"/>
  <c r="AF21" i="2"/>
  <c r="AG21" i="2" s="1"/>
  <c r="AF11" i="2"/>
  <c r="AF19" i="2"/>
  <c r="AF18" i="2"/>
  <c r="AF17" i="2"/>
  <c r="AF16" i="2"/>
  <c r="AF15" i="2"/>
  <c r="AF14" i="2"/>
  <c r="AF13" i="2"/>
  <c r="AF10" i="2"/>
  <c r="AJ10" i="2" s="1"/>
  <c r="AK10" i="2" s="1"/>
  <c r="Y6" i="2"/>
  <c r="Y30" i="2"/>
  <c r="Y28" i="2"/>
  <c r="Y11" i="2"/>
  <c r="Y27" i="2"/>
  <c r="Y10" i="2"/>
  <c r="Y25" i="2"/>
  <c r="Y24" i="2"/>
  <c r="AB32" i="2"/>
  <c r="AD32" i="2" s="1"/>
  <c r="AF31" i="2"/>
  <c r="Y9" i="2"/>
  <c r="AB23" i="2"/>
  <c r="AD23" i="2" s="1"/>
  <c r="Y8" i="2"/>
  <c r="AB22" i="2"/>
  <c r="AD22" i="2" s="1"/>
  <c r="Y21" i="2"/>
  <c r="AB30" i="2"/>
  <c r="AD30" i="2" s="1"/>
  <c r="Y19" i="2"/>
  <c r="Y18" i="2"/>
  <c r="AB31" i="2"/>
  <c r="AD31" i="2" s="1"/>
  <c r="Y17" i="2"/>
  <c r="Y15" i="2"/>
  <c r="AB14" i="2"/>
  <c r="AD14" i="2" s="1"/>
  <c r="AB7" i="2"/>
  <c r="AD7" i="2" s="1"/>
  <c r="AF4" i="2"/>
  <c r="AJ4" i="2" s="1"/>
  <c r="Y26" i="2"/>
  <c r="AB6" i="2"/>
  <c r="AD6" i="2" s="1"/>
  <c r="AF5" i="2"/>
  <c r="AF29" i="2"/>
  <c r="AG29" i="2" s="1"/>
  <c r="Y32" i="2"/>
  <c r="AF7" i="2"/>
  <c r="AJ7" i="2" s="1"/>
  <c r="Y31" i="2"/>
  <c r="AB5" i="2"/>
  <c r="AB29" i="2"/>
  <c r="AD29" i="2" s="1"/>
  <c r="AF27" i="2"/>
  <c r="AG27" i="2" s="1"/>
  <c r="Y4" i="2"/>
  <c r="AB27" i="2"/>
  <c r="AD27" i="2" s="1"/>
  <c r="AB25" i="2"/>
  <c r="AD25" i="2" s="1"/>
  <c r="Y29" i="2"/>
  <c r="AB19" i="2"/>
  <c r="AD19" i="2" s="1"/>
  <c r="AB18" i="2"/>
  <c r="AD18" i="2" s="1"/>
  <c r="AB17" i="2"/>
  <c r="AD17" i="2" s="1"/>
  <c r="AB16" i="2"/>
  <c r="AD16" i="2" s="1"/>
  <c r="Y22" i="2"/>
  <c r="AF9" i="2"/>
  <c r="AJ9" i="2" s="1"/>
  <c r="AK9" i="2" s="1"/>
  <c r="AF8" i="2"/>
  <c r="AB21" i="2"/>
  <c r="AD21" i="2" s="1"/>
  <c r="Y14" i="2"/>
  <c r="AF6" i="2"/>
  <c r="Y5" i="2"/>
  <c r="AB28" i="2"/>
  <c r="AD28" i="2" s="1"/>
  <c r="Y23" i="2"/>
  <c r="AB15" i="2"/>
  <c r="AD15" i="2" s="1"/>
  <c r="AB13" i="2"/>
  <c r="AD13" i="2" s="1"/>
  <c r="AB12" i="2"/>
  <c r="AD12" i="2" s="1"/>
  <c r="AF26" i="2"/>
  <c r="AJ26" i="2" s="1"/>
  <c r="AK26" i="2" s="1"/>
  <c r="AM26" i="2" s="1"/>
  <c r="AB26" i="2"/>
  <c r="AD26" i="2" s="1"/>
  <c r="AB24" i="2"/>
  <c r="AD24" i="2" s="1"/>
  <c r="AF20" i="2"/>
  <c r="AG20" i="2" s="1"/>
  <c r="AB20" i="2"/>
  <c r="AD20" i="2" s="1"/>
  <c r="AO1" i="2" l="1"/>
  <c r="F8" i="3"/>
  <c r="G8" i="3" s="1"/>
  <c r="G7" i="3"/>
  <c r="G5" i="3" s="1"/>
  <c r="AJ21" i="2"/>
  <c r="AK21" i="2" s="1"/>
  <c r="AM21" i="2" s="1"/>
  <c r="H5" i="3"/>
  <c r="AP1" i="2"/>
  <c r="Y1" i="2"/>
  <c r="AD8" i="2"/>
  <c r="AB1" i="2"/>
  <c r="AJ8" i="2"/>
  <c r="AK8" i="2" s="1"/>
  <c r="AF1" i="2"/>
  <c r="AD5" i="2"/>
  <c r="AJ24" i="2"/>
  <c r="AK24" i="2" s="1"/>
  <c r="AM24" i="2" s="1"/>
  <c r="AJ25" i="2"/>
  <c r="AK25" i="2" s="1"/>
  <c r="AM25" i="2" s="1"/>
  <c r="AJ32" i="2"/>
  <c r="AK32" i="2" s="1"/>
  <c r="AJ27" i="2"/>
  <c r="AK27" i="2" s="1"/>
  <c r="AM27" i="2" s="1"/>
  <c r="AJ29" i="2"/>
  <c r="AK29" i="2" s="1"/>
  <c r="AJ20" i="2"/>
  <c r="AK20" i="2" s="1"/>
  <c r="AM20" i="2" s="1"/>
  <c r="AG26" i="2"/>
  <c r="AG4" i="2"/>
  <c r="AG8" i="2"/>
  <c r="AJ30" i="2"/>
  <c r="AK30" i="2" s="1"/>
  <c r="AM10" i="2"/>
  <c r="AG7" i="2"/>
  <c r="AG9" i="2"/>
  <c r="AG22" i="2"/>
  <c r="AJ22" i="2"/>
  <c r="AK22" i="2" s="1"/>
  <c r="AM22" i="2" s="1"/>
  <c r="AM9" i="2"/>
  <c r="AG10" i="2"/>
  <c r="AK4" i="2"/>
  <c r="AM4" i="2" s="1"/>
  <c r="AG5" i="2"/>
  <c r="AJ5" i="2"/>
  <c r="AJ14" i="2"/>
  <c r="AG14" i="2"/>
  <c r="AG28" i="2"/>
  <c r="AJ28" i="2"/>
  <c r="AJ31" i="2"/>
  <c r="AG31" i="2"/>
  <c r="AJ11" i="2"/>
  <c r="AG11" i="2"/>
  <c r="AG6" i="2"/>
  <c r="AJ6" i="2"/>
  <c r="AJ12" i="2"/>
  <c r="AG12" i="2"/>
  <c r="AG15" i="2"/>
  <c r="AJ15" i="2"/>
  <c r="AG17" i="2"/>
  <c r="AJ17" i="2"/>
  <c r="AJ19" i="2"/>
  <c r="AG19" i="2"/>
  <c r="AJ13" i="2"/>
  <c r="AG13" i="2"/>
  <c r="AG18" i="2"/>
  <c r="AJ18" i="2"/>
  <c r="AJ16" i="2"/>
  <c r="AG16" i="2"/>
  <c r="AK7" i="2"/>
  <c r="AM7" i="2" s="1"/>
  <c r="AG23" i="2"/>
  <c r="AJ23" i="2"/>
  <c r="F5" i="3" l="1"/>
  <c r="AJ1" i="2"/>
  <c r="AG1" i="2"/>
  <c r="AM29" i="2"/>
  <c r="AD1" i="2"/>
  <c r="AM8" i="2"/>
  <c r="AM32" i="2"/>
  <c r="AM30" i="2"/>
  <c r="AK17" i="2"/>
  <c r="AM17" i="2" s="1"/>
  <c r="AK19" i="2"/>
  <c r="AM19" i="2" s="1"/>
  <c r="AK12" i="2"/>
  <c r="AM12" i="2" s="1"/>
  <c r="AK23" i="2"/>
  <c r="AM23" i="2" s="1"/>
  <c r="AK31" i="2"/>
  <c r="AM31" i="2" s="1"/>
  <c r="I9" i="3" s="1"/>
  <c r="AK28" i="2"/>
  <c r="AM28" i="2" s="1"/>
  <c r="AK14" i="2"/>
  <c r="AM14" i="2" s="1"/>
  <c r="AK15" i="2"/>
  <c r="AM15" i="2" s="1"/>
  <c r="AK6" i="2"/>
  <c r="AM6" i="2" s="1"/>
  <c r="AK11" i="2"/>
  <c r="AM11" i="2" s="1"/>
  <c r="AK16" i="2"/>
  <c r="AM16" i="2" s="1"/>
  <c r="AK18" i="2"/>
  <c r="AM18" i="2" s="1"/>
  <c r="AK5" i="2"/>
  <c r="AK13" i="2"/>
  <c r="AM13" i="2" s="1"/>
  <c r="I10" i="3" l="1"/>
  <c r="AK1" i="2"/>
  <c r="I8" i="3"/>
  <c r="AM5" i="2"/>
  <c r="AM1" i="2" s="1"/>
  <c r="I5" i="3" l="1"/>
  <c r="J5" i="3" l="1"/>
</calcChain>
</file>

<file path=xl/sharedStrings.xml><?xml version="1.0" encoding="utf-8"?>
<sst xmlns="http://schemas.openxmlformats.org/spreadsheetml/2006/main" count="537" uniqueCount="168">
  <si>
    <t>Classified / Non-class</t>
  </si>
  <si>
    <t>Eligible for CEC?</t>
  </si>
  <si>
    <t>LUMA Eval Rating</t>
  </si>
  <si>
    <t>CEC Amount</t>
  </si>
  <si>
    <t>FY26 Paygrade Policy</t>
  </si>
  <si>
    <t>Final New Payrate</t>
  </si>
  <si>
    <t>Variable Benefit Rate</t>
  </si>
  <si>
    <t>Annual Salary</t>
  </si>
  <si>
    <t>Variable Benefit Rate Cost</t>
  </si>
  <si>
    <t>Health Benefit Cost</t>
  </si>
  <si>
    <t>Annual Fully Loaded FTP Cost</t>
  </si>
  <si>
    <t>Matrix CEC Amount</t>
  </si>
  <si>
    <t>YES</t>
  </si>
  <si>
    <t>DNA</t>
  </si>
  <si>
    <t>NO</t>
  </si>
  <si>
    <t>A</t>
  </si>
  <si>
    <t>SS</t>
  </si>
  <si>
    <t>Ex</t>
  </si>
  <si>
    <t>Approp Unit</t>
  </si>
  <si>
    <t>Fund</t>
  </si>
  <si>
    <t>PC Appropriation</t>
  </si>
  <si>
    <t>Johnson, John</t>
  </si>
  <si>
    <t>Brown, William</t>
  </si>
  <si>
    <t>Wilson, Charles</t>
  </si>
  <si>
    <t>Anderson, Christopher</t>
  </si>
  <si>
    <t>Thomas, Daniel</t>
  </si>
  <si>
    <t>White, Mark</t>
  </si>
  <si>
    <t>Harris, Donald</t>
  </si>
  <si>
    <t>Garcia, Steven</t>
  </si>
  <si>
    <t>Martinez, Edward</t>
  </si>
  <si>
    <t>Rodriguez, Anthony</t>
  </si>
  <si>
    <t>Lee, Jason</t>
  </si>
  <si>
    <t>Young, Linda</t>
  </si>
  <si>
    <t>Lopez, Maria</t>
  </si>
  <si>
    <t>Hill, Susan</t>
  </si>
  <si>
    <t>Green, Dorothy</t>
  </si>
  <si>
    <t>Adams, Lisa</t>
  </si>
  <si>
    <t>Nelson, Betty</t>
  </si>
  <si>
    <t>Carter, Helen</t>
  </si>
  <si>
    <t>Mitchell, Sandra</t>
  </si>
  <si>
    <t>Perez, Donna</t>
  </si>
  <si>
    <t>Roberts, Carol</t>
  </si>
  <si>
    <t>Turner, Ruth</t>
  </si>
  <si>
    <t>Edwards, Kimberly</t>
  </si>
  <si>
    <t>Collins, Deborah</t>
  </si>
  <si>
    <t>Smith, James</t>
  </si>
  <si>
    <t>Allocation</t>
  </si>
  <si>
    <t>ZZZA</t>
  </si>
  <si>
    <t>ZZZB</t>
  </si>
  <si>
    <t>ZZZC</t>
  </si>
  <si>
    <t>N/A</t>
  </si>
  <si>
    <t>FY 2026 Primary Salary Structure - Effective 6/8/2025</t>
  </si>
  <si>
    <t>Luma Salary Structure Grade</t>
  </si>
  <si>
    <t>Pay Grade</t>
  </si>
  <si>
    <t>Minimum Points</t>
  </si>
  <si>
    <t>Grade Points</t>
  </si>
  <si>
    <t>Maximum Points</t>
  </si>
  <si>
    <t xml:space="preserve">Hourly </t>
  </si>
  <si>
    <t xml:space="preserve">Annual </t>
  </si>
  <si>
    <t>Minimum</t>
  </si>
  <si>
    <t>Policy</t>
  </si>
  <si>
    <t xml:space="preserve">
Maximum</t>
  </si>
  <si>
    <t xml:space="preserve">
Minimum</t>
  </si>
  <si>
    <t>D</t>
  </si>
  <si>
    <t>Below 110 Points</t>
  </si>
  <si>
    <t>E</t>
  </si>
  <si>
    <t>F</t>
  </si>
  <si>
    <t>G</t>
  </si>
  <si>
    <t>H</t>
  </si>
  <si>
    <t>I</t>
  </si>
  <si>
    <t>J</t>
  </si>
  <si>
    <t>K</t>
  </si>
  <si>
    <t>L</t>
  </si>
  <si>
    <t>M</t>
  </si>
  <si>
    <t>N</t>
  </si>
  <si>
    <t>O</t>
  </si>
  <si>
    <t>P</t>
  </si>
  <si>
    <t>Q</t>
  </si>
  <si>
    <t>R</t>
  </si>
  <si>
    <t>T</t>
  </si>
  <si>
    <t>V</t>
  </si>
  <si>
    <t>FY 2026 IT/Engineering Salary Structure - Effective 6/8/2025</t>
  </si>
  <si>
    <t>FY 2026 Nursing/Healthcare Salary Structure - Effective 6/8/2025</t>
  </si>
  <si>
    <t>FY 2026 Public Safety Salary Structure - Effective 6/8/2025</t>
  </si>
  <si>
    <t xml:space="preserve">Examiner </t>
  </si>
  <si>
    <t>Payrate After 10.61 CEC</t>
  </si>
  <si>
    <t>Below Minimum Adjustment</t>
  </si>
  <si>
    <t>Allocated Current Payrate</t>
  </si>
  <si>
    <t>IT Staff</t>
  </si>
  <si>
    <t>CEC Submission Template for DFM Review</t>
  </si>
  <si>
    <t>Agency:</t>
  </si>
  <si>
    <t>Appropriation Unit</t>
  </si>
  <si>
    <t>Appropriated CEC 10.61</t>
  </si>
  <si>
    <t>Allocated CEC 10.61</t>
  </si>
  <si>
    <t>CEC 10.61 Amount to Revert</t>
  </si>
  <si>
    <t>Other CEC totals</t>
  </si>
  <si>
    <t>Annual Fully Loaded 10.61 CEC Cost</t>
  </si>
  <si>
    <t>Totals:</t>
  </si>
  <si>
    <t>Total PC</t>
  </si>
  <si>
    <t>ISP Trooper</t>
  </si>
  <si>
    <t>Annual Fully Loaded Other CEC Cost</t>
  </si>
  <si>
    <t>Summary Tab:</t>
  </si>
  <si>
    <t>○ Ensure the data ties out to your appropriation bills</t>
  </si>
  <si>
    <t>Staff Tab:</t>
  </si>
  <si>
    <t>○ Fill in rows for all employees</t>
  </si>
  <si>
    <t>○ Even if an employee will only receive the CEC for a part of the year, operate under the assumption that they will receive their CEC for the entire year. This enables a proper calculation of the amounts needed to revert.</t>
  </si>
  <si>
    <t>○ Fill in columns in white. All other cells will auto populate if done properly.</t>
  </si>
  <si>
    <t xml:space="preserve">        N/A - Use for employees that have a "NO" column L</t>
  </si>
  <si>
    <t xml:space="preserve">        SS - Solid Sustain</t>
  </si>
  <si>
    <t xml:space="preserve">        E - Exceeds</t>
  </si>
  <si>
    <t>○ DO NOT OVERWRITE ANY FORMULAS in GRAY cells.</t>
  </si>
  <si>
    <t xml:space="preserve">        DNA - Does Not Achieve</t>
  </si>
  <si>
    <t xml:space="preserve">        A - Achieves</t>
  </si>
  <si>
    <t>○ Using your appropriation bills and LSO agency proofs, fill in all green cells</t>
  </si>
  <si>
    <t>○ DO NOT overwrite the formula in the ORANGE cells in column G.</t>
  </si>
  <si>
    <t>○ You can delete any unneeded rows below row 7.</t>
  </si>
  <si>
    <t>○ Fill in your state agency name in cell C3</t>
  </si>
  <si>
    <t>○ Fill in your state agency number in cell B3</t>
  </si>
  <si>
    <t xml:space="preserve">Market Based % </t>
  </si>
  <si>
    <t>Market Based Amount</t>
  </si>
  <si>
    <t>Payrate After Market Based CEC</t>
  </si>
  <si>
    <t>○ Using filters and the data from this workbook (once completed), you can fill in the tables in the required CEC plan.</t>
  </si>
  <si>
    <t>Estimated PC Balance (Salary Savings)</t>
  </si>
  <si>
    <t>Instructions:</t>
  </si>
  <si>
    <t>○ To add rows: select an existing row and copy it, then right-click and insert copied cells, then update the data as needed.</t>
  </si>
  <si>
    <t>○ Overwriting the values in the white rows in this workbook is the anticipated way to start. Feel free to add or remove lines as necessary.</t>
  </si>
  <si>
    <t>FY 2025 IT &amp; Engineering Compensation Schedule - Effective 6/9/2024</t>
  </si>
  <si>
    <t>FY 2025 Public Safety Compensation Schedule - Effective 6/9/2024</t>
  </si>
  <si>
    <t>FY 2025 Primary Compensation Schedule - Effective 6/8/2024</t>
  </si>
  <si>
    <t>FY 2025 Nursing/Healthcare Compensation Schedule - Effective 6/8/2024</t>
  </si>
  <si>
    <t xml:space="preserve">Current FY25 Compa-ratio </t>
  </si>
  <si>
    <t>FY26 Compa-Ratio</t>
  </si>
  <si>
    <t>Final FY26 Compa-Ratio</t>
  </si>
  <si>
    <t>FY25 Policy Rate</t>
  </si>
  <si>
    <r>
      <t xml:space="preserve">Employee Name
</t>
    </r>
    <r>
      <rPr>
        <sz val="10"/>
        <color theme="1"/>
        <rFont val="Aptos Narrow"/>
        <family val="2"/>
        <scheme val="minor"/>
      </rPr>
      <t>EmployeeName</t>
    </r>
  </si>
  <si>
    <r>
      <t xml:space="preserve">Employee ID
</t>
    </r>
    <r>
      <rPr>
        <sz val="10"/>
        <color theme="1"/>
        <rFont val="Aptos Narrow"/>
        <family val="2"/>
        <scheme val="minor"/>
      </rPr>
      <t>Employee</t>
    </r>
  </si>
  <si>
    <r>
      <t xml:space="preserve">Position
</t>
    </r>
    <r>
      <rPr>
        <sz val="10"/>
        <color theme="1"/>
        <rFont val="Aptos Narrow"/>
        <family val="2"/>
        <scheme val="minor"/>
      </rPr>
      <t>PositionTitle</t>
    </r>
  </si>
  <si>
    <r>
      <t xml:space="preserve">Employee Type
</t>
    </r>
    <r>
      <rPr>
        <sz val="10"/>
        <color theme="1"/>
        <rFont val="Aptos Narrow"/>
        <family val="2"/>
        <scheme val="minor"/>
      </rPr>
      <t>IDEmployeeType</t>
    </r>
  </si>
  <si>
    <r>
      <t xml:space="preserve">FTE
</t>
    </r>
    <r>
      <rPr>
        <sz val="10"/>
        <color theme="1"/>
        <rFont val="Aptos Narrow"/>
        <family val="2"/>
        <scheme val="minor"/>
      </rPr>
      <t>FTE</t>
    </r>
  </si>
  <si>
    <r>
      <t xml:space="preserve">LUMA Paygrade
</t>
    </r>
    <r>
      <rPr>
        <sz val="10"/>
        <color theme="1"/>
        <rFont val="Aptos Narrow"/>
        <family val="2"/>
        <scheme val="minor"/>
      </rPr>
      <t>SalaryStructureGrade</t>
    </r>
  </si>
  <si>
    <r>
      <t xml:space="preserve">Position Number
</t>
    </r>
    <r>
      <rPr>
        <sz val="10"/>
        <color theme="1"/>
        <rFont val="Aptos Narrow"/>
        <family val="2"/>
        <scheme val="minor"/>
      </rPr>
      <t>Position</t>
    </r>
    <r>
      <rPr>
        <b/>
        <sz val="10"/>
        <color theme="1"/>
        <rFont val="Aptos Narrow"/>
        <family val="2"/>
        <scheme val="minor"/>
      </rPr>
      <t xml:space="preserve"> </t>
    </r>
  </si>
  <si>
    <r>
      <t xml:space="preserve">Work Assignment #
</t>
    </r>
    <r>
      <rPr>
        <sz val="10"/>
        <color theme="1"/>
        <rFont val="Aptos Narrow"/>
        <family val="2"/>
        <scheme val="minor"/>
      </rPr>
      <t>WorkAssignment</t>
    </r>
  </si>
  <si>
    <r>
      <t xml:space="preserve">FLSA
</t>
    </r>
    <r>
      <rPr>
        <sz val="10"/>
        <color theme="1"/>
        <rFont val="Aptos Narrow"/>
        <family val="2"/>
        <scheme val="minor"/>
      </rPr>
      <t>IDWAFLSACode</t>
    </r>
  </si>
  <si>
    <r>
      <t xml:space="preserve">Pay Schedule
</t>
    </r>
    <r>
      <rPr>
        <sz val="10"/>
        <color theme="1"/>
        <rFont val="Aptos Narrow"/>
        <family val="2"/>
        <scheme val="minor"/>
      </rPr>
      <t>PaymentSchedule</t>
    </r>
  </si>
  <si>
    <r>
      <t xml:space="preserve">Full Current Base Payrate
</t>
    </r>
    <r>
      <rPr>
        <sz val="10"/>
        <color theme="1"/>
        <rFont val="Aptos Narrow"/>
        <family val="2"/>
        <scheme val="minor"/>
      </rPr>
      <t>PayRate</t>
    </r>
  </si>
  <si>
    <r>
      <t xml:space="preserve">Adjusted Start Date
</t>
    </r>
    <r>
      <rPr>
        <sz val="10"/>
        <color theme="1"/>
        <rFont val="Aptos Narrow"/>
        <family val="2"/>
        <scheme val="minor"/>
      </rPr>
      <t>AdjustedStartDate</t>
    </r>
  </si>
  <si>
    <r>
      <t xml:space="preserve">Probation
</t>
    </r>
    <r>
      <rPr>
        <sz val="10"/>
        <color theme="1"/>
        <rFont val="Aptos Narrow"/>
        <family val="2"/>
        <scheme val="minor"/>
      </rPr>
      <t>Trial Period</t>
    </r>
  </si>
  <si>
    <r>
      <t xml:space="preserve">Relationship Status
</t>
    </r>
    <r>
      <rPr>
        <sz val="10"/>
        <color theme="1"/>
        <rFont val="Aptos Narrow"/>
        <family val="2"/>
        <scheme val="minor"/>
      </rPr>
      <t>RelationshipStatus</t>
    </r>
    <r>
      <rPr>
        <b/>
        <sz val="10"/>
        <color theme="1"/>
        <rFont val="Aptos Narrow"/>
        <family val="2"/>
        <scheme val="minor"/>
      </rPr>
      <t xml:space="preserve">
</t>
    </r>
  </si>
  <si>
    <t>NONCLASSIFIED</t>
  </si>
  <si>
    <t>CLASSIFIED</t>
  </si>
  <si>
    <r>
      <t xml:space="preserve">Classified / Non-classified
</t>
    </r>
    <r>
      <rPr>
        <sz val="10"/>
        <color theme="1"/>
        <rFont val="Aptos Narrow"/>
        <family val="2"/>
        <scheme val="minor"/>
      </rPr>
      <t>Position.PositionFamily</t>
    </r>
  </si>
  <si>
    <t>○ The data in columns with GREEN headers can be downloaded from the 2025 CEC Data Pull report in GHR (Please coordinate with your staff/DHR to find someone who can pull this for you)</t>
  </si>
  <si>
    <t>○ Columns A-H: Copy and paste appropriate agency information from the 2025 CEC Data Pull Report to these columns.</t>
  </si>
  <si>
    <t>○ Column I: Enter the appropriation unit the staff is budgeted in (multiple line allocations will be handled in column E). Data validation will prevent values not entered on the summary tab.</t>
  </si>
  <si>
    <t>○ Column J: Enter the fund the staff is budgeted in (multiple line allocations will be handled in column E). Data validation will prevent values not entered on the summary tab.</t>
  </si>
  <si>
    <t>○ Column K: Enter the percentage this employee is allocated in this appropriation unit and fund combination. For multiple allocation lines, follow the instructions in row 12 on this sheet. All lines for a single employee MUST sum to 100%. You can check this by filtering to the single employee in column A then checking the values in row 1. Please note that many of the values in row 1 are meaningless unless a filter is applied in this fashion.</t>
  </si>
  <si>
    <t>○ Columns L-O: Copy and paste appropriate agency information from the 2025 CEC Data Pull Report to these columns. Column L has data validation and will prevent any variant values. Column L data should be what the position will be in FY2026 (this may require adjustments from the download data).</t>
  </si>
  <si>
    <t>○ Column P: Using the FY25 Pay Schedules, enter the current policy rate for this pay grade.</t>
  </si>
  <si>
    <t>○ Column Q:  Enter the staff member's current FULL unallocated BASE pay rate. If the employee is on multiple allocation lines, enter the full rate on each line.</t>
  </si>
  <si>
    <t>○ Columns T-U: Copy and paste appropriate agency information from the 2025 CEC Data Pull Report to these columns.</t>
  </si>
  <si>
    <t>○ Column V: Enter the employee Evaluation Rating: (Data validation will prevent any different values.)</t>
  </si>
  <si>
    <t>○ Column W: Using the guidance in the memos, is this employee eligible for CEC? YES or NO.  Data validation will prevent any different values. Please note that Temp Employees should be marked as a "NO" unless you received a specific appropriation to give a CEC to these staff.</t>
  </si>
  <si>
    <t>○ Column Z: Use this column ONLY for IT/engineering staff, nurses, or ISP troopers, as outlined in the CEC guidance. When giving the 3% for nurses where this amount is greater than the CEC value that would be given in column X place an "N/A" in column W and enter the appropriate percentage here.</t>
  </si>
  <si>
    <t>○ Column AC: Using the FY26 Pay Schedules, enter the appropriate FY2026 policy rate for this pay grade.</t>
  </si>
  <si>
    <t>○ Column AE: Enter amounts here to use appropriation to adjust the salary for employees below the paygrade minimum as outlined in the CEC guidance. If the position is allocated, filter to the single employee and ensure the amounts align to the allocation.</t>
  </si>
  <si>
    <t>○ Column AH: Using the FY26 BDM Appendices 2 and 3, enter the appropriate FY2026 variable benefit rate for this position. Please note the difference between the classified and the non-classified rates for the DHR component.</t>
  </si>
  <si>
    <t>○ Column AL: This is the one place it is acceptable to adjust the formula. For full-time staff, no changes need to be made. For part-time staff, use this formula: =(11300*E9). For employees that are not eligible for health insurance, enter a "0".</t>
  </si>
  <si>
    <t>○ You can delete any unneeded rows below row 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</si>
</sst>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_(&quot;$&quot;* #,##0_);_(&quot;$&quot;* \(#,##0\);_(&quot;$&quot;* &quot;-&quot;??_);_(@_)"/>
    <numFmt numFmtId="165" formatCode="&quot;$&quot;#,##0.00"/>
    <numFmt numFmtId="166" formatCode="&quot;$&quot;#,##0"/>
  </numFmts>
  <fonts count="16" x14ac:knownFonts="1">
    <font>
      <sz val="11"/>
      <color theme="1"/>
      <name val="Aptos Narrow"/>
      <family val="2"/>
      <scheme val="minor"/>
    </font>
    <font>
      <sz val="11"/>
      <color theme="1"/>
      <name val="Aptos Narrow"/>
      <family val="2"/>
      <scheme val="minor"/>
    </font>
    <font>
      <b/>
      <sz val="11"/>
      <color theme="1"/>
      <name val="Aptos Narrow"/>
      <family val="2"/>
      <scheme val="minor"/>
    </font>
    <font>
      <b/>
      <sz val="10"/>
      <color theme="1"/>
      <name val="Aptos Narrow"/>
      <family val="2"/>
      <scheme val="minor"/>
    </font>
    <font>
      <sz val="10"/>
      <name val="Arial"/>
      <family val="2"/>
    </font>
    <font>
      <b/>
      <sz val="12"/>
      <name val="Arial"/>
      <family val="2"/>
    </font>
    <font>
      <sz val="11"/>
      <name val="Arial"/>
      <family val="2"/>
    </font>
    <font>
      <b/>
      <sz val="14"/>
      <color theme="0"/>
      <name val="Arial"/>
      <family val="2"/>
    </font>
    <font>
      <b/>
      <sz val="14"/>
      <name val="Arial"/>
      <family val="2"/>
    </font>
    <font>
      <b/>
      <sz val="9"/>
      <name val="Arial"/>
      <family val="2"/>
    </font>
    <font>
      <b/>
      <sz val="10"/>
      <name val="Arial"/>
      <family val="2"/>
    </font>
    <font>
      <b/>
      <sz val="11"/>
      <name val="Arial"/>
      <family val="2"/>
    </font>
    <font>
      <b/>
      <u/>
      <sz val="12"/>
      <color theme="3" tint="0.249977111117893"/>
      <name val="Aptos Narrow"/>
      <family val="2"/>
      <scheme val="minor"/>
    </font>
    <font>
      <b/>
      <sz val="12"/>
      <color theme="3" tint="0.249977111117893"/>
      <name val="Aptos Narrow"/>
      <family val="2"/>
      <scheme val="minor"/>
    </font>
    <font>
      <b/>
      <sz val="9"/>
      <color theme="1"/>
      <name val="Aptos Narrow"/>
      <family val="2"/>
      <scheme val="minor"/>
    </font>
    <font>
      <sz val="10"/>
      <color theme="1"/>
      <name val="Aptos Narrow"/>
      <family val="2"/>
      <scheme val="minor"/>
    </font>
  </fonts>
  <fills count="9">
    <fill>
      <patternFill patternType="none"/>
    </fill>
    <fill>
      <patternFill patternType="gray125"/>
    </fill>
    <fill>
      <patternFill patternType="solid">
        <fgColor theme="3" tint="0.749992370372631"/>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5" tint="0.59999389629810485"/>
        <bgColor indexed="64"/>
      </patternFill>
    </fill>
    <fill>
      <patternFill patternType="solid">
        <fgColor rgb="FF92D050"/>
        <bgColor indexed="64"/>
      </patternFill>
    </fill>
    <fill>
      <patternFill patternType="solid">
        <fgColor theme="0" tint="-0.34998626667073579"/>
        <bgColor indexed="64"/>
      </patternFill>
    </fill>
  </fills>
  <borders count="71">
    <border>
      <left/>
      <right/>
      <top/>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medium">
        <color theme="0"/>
      </left>
      <right style="medium">
        <color theme="0"/>
      </right>
      <top style="medium">
        <color theme="0"/>
      </top>
      <bottom style="medium">
        <color theme="0"/>
      </bottom>
      <diagonal/>
    </border>
    <border>
      <left style="thin">
        <color theme="0"/>
      </left>
      <right style="thin">
        <color theme="0"/>
      </right>
      <top style="thin">
        <color theme="0"/>
      </top>
      <bottom/>
      <diagonal/>
    </border>
    <border>
      <left style="medium">
        <color theme="0"/>
      </left>
      <right style="medium">
        <color theme="0"/>
      </right>
      <top style="medium">
        <color theme="0"/>
      </top>
      <bottom/>
      <diagonal/>
    </border>
    <border>
      <left style="medium">
        <color theme="1"/>
      </left>
      <right style="medium">
        <color theme="1"/>
      </right>
      <top style="medium">
        <color theme="1"/>
      </top>
      <bottom style="thin">
        <color theme="1"/>
      </bottom>
      <diagonal/>
    </border>
    <border>
      <left style="medium">
        <color theme="1"/>
      </left>
      <right style="thin">
        <color theme="1"/>
      </right>
      <top style="medium">
        <color theme="1"/>
      </top>
      <bottom style="thin">
        <color theme="1"/>
      </bottom>
      <diagonal/>
    </border>
    <border>
      <left style="thin">
        <color theme="1"/>
      </left>
      <right style="thin">
        <color theme="1"/>
      </right>
      <top style="medium">
        <color theme="1"/>
      </top>
      <bottom style="thin">
        <color theme="1"/>
      </bottom>
      <diagonal/>
    </border>
    <border>
      <left style="thin">
        <color theme="1"/>
      </left>
      <right style="medium">
        <color theme="1"/>
      </right>
      <top style="medium">
        <color theme="1"/>
      </top>
      <bottom style="thin">
        <color theme="1"/>
      </bottom>
      <diagonal/>
    </border>
    <border>
      <left/>
      <right style="thin">
        <color theme="0"/>
      </right>
      <top style="thin">
        <color theme="0"/>
      </top>
      <bottom style="thin">
        <color theme="0"/>
      </bottom>
      <diagonal/>
    </border>
    <border>
      <left style="medium">
        <color theme="1"/>
      </left>
      <right style="medium">
        <color indexed="64"/>
      </right>
      <top style="medium">
        <color theme="1"/>
      </top>
      <bottom/>
      <diagonal/>
    </border>
    <border>
      <left style="medium">
        <color indexed="64"/>
      </left>
      <right style="medium">
        <color indexed="64"/>
      </right>
      <top style="medium">
        <color theme="1"/>
      </top>
      <bottom/>
      <diagonal/>
    </border>
    <border>
      <left style="medium">
        <color indexed="64"/>
      </left>
      <right style="thin">
        <color indexed="64"/>
      </right>
      <top style="medium">
        <color theme="1"/>
      </top>
      <bottom/>
      <diagonal/>
    </border>
    <border>
      <left style="thin">
        <color indexed="64"/>
      </left>
      <right style="thin">
        <color indexed="64"/>
      </right>
      <top style="medium">
        <color theme="1"/>
      </top>
      <bottom/>
      <diagonal/>
    </border>
    <border>
      <left style="thin">
        <color indexed="64"/>
      </left>
      <right style="medium">
        <color indexed="64"/>
      </right>
      <top style="medium">
        <color theme="1"/>
      </top>
      <bottom style="thin">
        <color indexed="64"/>
      </bottom>
      <diagonal/>
    </border>
    <border>
      <left style="medium">
        <color indexed="64"/>
      </left>
      <right style="thin">
        <color indexed="64"/>
      </right>
      <top style="medium">
        <color theme="1"/>
      </top>
      <bottom style="thin">
        <color indexed="64"/>
      </bottom>
      <diagonal/>
    </border>
    <border>
      <left style="thin">
        <color indexed="64"/>
      </left>
      <right style="thin">
        <color indexed="64"/>
      </right>
      <top style="medium">
        <color theme="1"/>
      </top>
      <bottom style="thin">
        <color indexed="64"/>
      </bottom>
      <diagonal/>
    </border>
    <border>
      <left/>
      <right style="thin">
        <color indexed="64"/>
      </right>
      <top style="medium">
        <color theme="1"/>
      </top>
      <bottom style="thin">
        <color indexed="64"/>
      </bottom>
      <diagonal/>
    </border>
    <border>
      <left style="thin">
        <color indexed="64"/>
      </left>
      <right style="medium">
        <color theme="1"/>
      </right>
      <top style="medium">
        <color theme="1"/>
      </top>
      <bottom style="thin">
        <color indexed="64"/>
      </bottom>
      <diagonal/>
    </border>
    <border>
      <left style="medium">
        <color theme="1"/>
      </left>
      <right style="medium">
        <color theme="1"/>
      </right>
      <top style="thin">
        <color theme="1"/>
      </top>
      <bottom style="thin">
        <color theme="1"/>
      </bottom>
      <diagonal/>
    </border>
    <border>
      <left style="medium">
        <color theme="1"/>
      </left>
      <right style="thin">
        <color theme="1"/>
      </right>
      <top style="thin">
        <color theme="1"/>
      </top>
      <bottom style="thin">
        <color theme="1"/>
      </bottom>
      <diagonal/>
    </border>
    <border>
      <left style="thin">
        <color theme="1"/>
      </left>
      <right style="thin">
        <color theme="1"/>
      </right>
      <top style="thin">
        <color theme="1"/>
      </top>
      <bottom style="thin">
        <color theme="1"/>
      </bottom>
      <diagonal/>
    </border>
    <border>
      <left style="thin">
        <color theme="1"/>
      </left>
      <right style="medium">
        <color theme="1"/>
      </right>
      <top style="thin">
        <color theme="1"/>
      </top>
      <bottom style="thin">
        <color theme="1"/>
      </bottom>
      <diagonal/>
    </border>
    <border>
      <left style="medium">
        <color theme="1"/>
      </left>
      <right style="medium">
        <color indexed="64"/>
      </right>
      <top/>
      <bottom style="thin">
        <color indexed="64"/>
      </bottom>
      <diagonal/>
    </border>
    <border>
      <left style="thin">
        <color indexed="64"/>
      </left>
      <right style="medium">
        <color theme="1"/>
      </right>
      <top/>
      <bottom/>
      <diagonal/>
    </border>
    <border>
      <left/>
      <right style="thin">
        <color theme="0"/>
      </right>
      <top style="thin">
        <color theme="0"/>
      </top>
      <bottom/>
      <diagonal/>
    </border>
    <border>
      <left style="medium">
        <color theme="1"/>
      </left>
      <right style="medium">
        <color indexed="64"/>
      </right>
      <top style="thin">
        <color indexed="64"/>
      </top>
      <bottom style="thin">
        <color indexed="64"/>
      </bottom>
      <diagonal/>
    </border>
    <border>
      <left style="thin">
        <color indexed="64"/>
      </left>
      <right style="medium">
        <color theme="1"/>
      </right>
      <top style="thin">
        <color indexed="64"/>
      </top>
      <bottom style="thin">
        <color indexed="64"/>
      </bottom>
      <diagonal/>
    </border>
    <border>
      <left style="medium">
        <color theme="1"/>
      </left>
      <right/>
      <top style="medium">
        <color theme="0"/>
      </top>
      <bottom/>
      <diagonal/>
    </border>
    <border>
      <left style="medium">
        <color theme="1"/>
      </left>
      <right style="thin">
        <color theme="0"/>
      </right>
      <top style="medium">
        <color theme="0"/>
      </top>
      <bottom style="thin">
        <color theme="0"/>
      </bottom>
      <diagonal/>
    </border>
    <border>
      <left style="medium">
        <color theme="1"/>
      </left>
      <right style="medium">
        <color theme="1"/>
      </right>
      <top style="thin">
        <color theme="1"/>
      </top>
      <bottom style="medium">
        <color theme="1"/>
      </bottom>
      <diagonal/>
    </border>
    <border>
      <left style="medium">
        <color theme="1"/>
      </left>
      <right style="thin">
        <color theme="1"/>
      </right>
      <top style="thin">
        <color theme="1"/>
      </top>
      <bottom style="medium">
        <color theme="1"/>
      </bottom>
      <diagonal/>
    </border>
    <border>
      <left style="thin">
        <color theme="1"/>
      </left>
      <right style="thin">
        <color theme="1"/>
      </right>
      <top style="thin">
        <color theme="1"/>
      </top>
      <bottom style="medium">
        <color theme="1"/>
      </bottom>
      <diagonal/>
    </border>
    <border>
      <left style="thin">
        <color theme="1"/>
      </left>
      <right style="medium">
        <color theme="1"/>
      </right>
      <top style="thin">
        <color theme="1"/>
      </top>
      <bottom style="medium">
        <color theme="1"/>
      </bottom>
      <diagonal/>
    </border>
    <border>
      <left style="medium">
        <color theme="1"/>
      </left>
      <right style="medium">
        <color indexed="64"/>
      </right>
      <top style="thin">
        <color indexed="64"/>
      </top>
      <bottom style="medium">
        <color theme="1"/>
      </bottom>
      <diagonal/>
    </border>
    <border>
      <left style="medium">
        <color indexed="64"/>
      </left>
      <right style="medium">
        <color indexed="64"/>
      </right>
      <top style="thin">
        <color indexed="64"/>
      </top>
      <bottom style="medium">
        <color theme="1"/>
      </bottom>
      <diagonal/>
    </border>
    <border>
      <left style="medium">
        <color indexed="64"/>
      </left>
      <right style="thin">
        <color indexed="64"/>
      </right>
      <top style="thin">
        <color indexed="64"/>
      </top>
      <bottom style="medium">
        <color theme="1"/>
      </bottom>
      <diagonal/>
    </border>
    <border>
      <left style="thin">
        <color indexed="64"/>
      </left>
      <right style="thin">
        <color indexed="64"/>
      </right>
      <top style="thin">
        <color indexed="64"/>
      </top>
      <bottom style="medium">
        <color theme="1"/>
      </bottom>
      <diagonal/>
    </border>
    <border>
      <left style="thin">
        <color indexed="64"/>
      </left>
      <right style="medium">
        <color indexed="64"/>
      </right>
      <top style="thin">
        <color indexed="64"/>
      </top>
      <bottom style="medium">
        <color theme="1"/>
      </bottom>
      <diagonal/>
    </border>
    <border>
      <left style="thin">
        <color indexed="64"/>
      </left>
      <right style="medium">
        <color theme="1"/>
      </right>
      <top style="thin">
        <color indexed="64"/>
      </top>
      <bottom style="medium">
        <color theme="1"/>
      </bottom>
      <diagonal/>
    </border>
    <border>
      <left style="thin">
        <color theme="0"/>
      </left>
      <right style="thin">
        <color theme="0"/>
      </right>
      <top/>
      <bottom style="thin">
        <color theme="0"/>
      </bottom>
      <diagonal/>
    </border>
    <border>
      <left style="medium">
        <color indexed="64"/>
      </left>
      <right style="medium">
        <color indexed="64"/>
      </right>
      <top style="medium">
        <color indexed="64"/>
      </top>
      <bottom style="medium">
        <color indexed="64"/>
      </bottom>
      <diagonal/>
    </border>
    <border>
      <left/>
      <right/>
      <top/>
      <bottom style="thick">
        <color theme="3" tint="0.24994659260841701"/>
      </bottom>
      <diagonal/>
    </border>
    <border>
      <left style="thin">
        <color indexed="64"/>
      </left>
      <right/>
      <top/>
      <bottom style="thick">
        <color theme="3" tint="0.24994659260841701"/>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0" fontId="4" fillId="0" borderId="0"/>
  </cellStyleXfs>
  <cellXfs count="185">
    <xf numFmtId="0" fontId="0" fillId="0" borderId="0" xfId="0"/>
    <xf numFmtId="0" fontId="3" fillId="0" borderId="0" xfId="0" applyFont="1" applyAlignment="1">
      <alignment horizontal="center" vertical="center" wrapText="1"/>
    </xf>
    <xf numFmtId="164" fontId="3" fillId="0" borderId="0" xfId="1" applyNumberFormat="1" applyFont="1" applyAlignment="1">
      <alignment horizontal="center" vertical="center" wrapText="1"/>
    </xf>
    <xf numFmtId="44" fontId="0" fillId="0" borderId="0" xfId="1" applyFont="1"/>
    <xf numFmtId="0" fontId="0" fillId="0" borderId="0" xfId="0" applyAlignment="1">
      <alignment horizontal="center"/>
    </xf>
    <xf numFmtId="164" fontId="0" fillId="0" borderId="0" xfId="1" applyNumberFormat="1" applyFont="1"/>
    <xf numFmtId="10" fontId="0" fillId="0" borderId="0" xfId="2" applyNumberFormat="1" applyFont="1"/>
    <xf numFmtId="9" fontId="0" fillId="0" borderId="0" xfId="2" applyFont="1" applyAlignment="1">
      <alignment horizontal="center"/>
    </xf>
    <xf numFmtId="0" fontId="5" fillId="0" borderId="0" xfId="3" applyFont="1"/>
    <xf numFmtId="0" fontId="6" fillId="0" borderId="0" xfId="3" applyFont="1"/>
    <xf numFmtId="0" fontId="7" fillId="0" borderId="0" xfId="3" applyFont="1" applyAlignment="1">
      <alignment horizontal="left"/>
    </xf>
    <xf numFmtId="0" fontId="8" fillId="0" borderId="0" xfId="3" applyFont="1" applyAlignment="1">
      <alignment horizontal="left"/>
    </xf>
    <xf numFmtId="0" fontId="4" fillId="0" borderId="0" xfId="3"/>
    <xf numFmtId="0" fontId="4" fillId="0" borderId="1" xfId="3" applyBorder="1"/>
    <xf numFmtId="0" fontId="4" fillId="0" borderId="19" xfId="3" applyBorder="1" applyAlignment="1">
      <alignment horizontal="center"/>
    </xf>
    <xf numFmtId="0" fontId="4" fillId="0" borderId="20" xfId="3" applyBorder="1" applyAlignment="1">
      <alignment horizontal="center"/>
    </xf>
    <xf numFmtId="0" fontId="4" fillId="0" borderId="21" xfId="3" applyBorder="1" applyAlignment="1">
      <alignment horizontal="center"/>
    </xf>
    <xf numFmtId="0" fontId="4" fillId="0" borderId="12" xfId="3" applyBorder="1" applyAlignment="1">
      <alignment horizontal="center"/>
    </xf>
    <xf numFmtId="165" fontId="4" fillId="0" borderId="20" xfId="3" applyNumberFormat="1" applyBorder="1" applyAlignment="1">
      <alignment horizontal="center"/>
    </xf>
    <xf numFmtId="165" fontId="4" fillId="0" borderId="21" xfId="3" applyNumberFormat="1" applyBorder="1" applyAlignment="1">
      <alignment horizontal="center"/>
    </xf>
    <xf numFmtId="166" fontId="4" fillId="0" borderId="20" xfId="3" applyNumberFormat="1" applyBorder="1" applyAlignment="1">
      <alignment horizontal="center"/>
    </xf>
    <xf numFmtId="166" fontId="4" fillId="0" borderId="21" xfId="3" applyNumberFormat="1" applyBorder="1" applyAlignment="1">
      <alignment horizontal="center"/>
    </xf>
    <xf numFmtId="166" fontId="4" fillId="0" borderId="12" xfId="3" applyNumberFormat="1" applyBorder="1" applyAlignment="1">
      <alignment horizontal="center"/>
    </xf>
    <xf numFmtId="3" fontId="4" fillId="0" borderId="20" xfId="3" applyNumberFormat="1" applyBorder="1" applyAlignment="1">
      <alignment horizontal="center"/>
    </xf>
    <xf numFmtId="3" fontId="4" fillId="0" borderId="21" xfId="3" applyNumberFormat="1" applyBorder="1" applyAlignment="1">
      <alignment horizontal="center"/>
    </xf>
    <xf numFmtId="3" fontId="4" fillId="0" borderId="12" xfId="3" applyNumberFormat="1" applyBorder="1" applyAlignment="1">
      <alignment horizontal="center"/>
    </xf>
    <xf numFmtId="0" fontId="4" fillId="0" borderId="22" xfId="3" applyBorder="1" applyAlignment="1">
      <alignment horizontal="center"/>
    </xf>
    <xf numFmtId="3" fontId="4" fillId="0" borderId="23" xfId="3" applyNumberFormat="1" applyBorder="1" applyAlignment="1">
      <alignment horizontal="center"/>
    </xf>
    <xf numFmtId="3" fontId="4" fillId="0" borderId="24" xfId="3" applyNumberFormat="1" applyBorder="1" applyAlignment="1">
      <alignment horizontal="center"/>
    </xf>
    <xf numFmtId="3" fontId="4" fillId="0" borderId="25" xfId="3" applyNumberFormat="1" applyBorder="1" applyAlignment="1">
      <alignment horizontal="center"/>
    </xf>
    <xf numFmtId="165" fontId="4" fillId="0" borderId="23" xfId="3" applyNumberFormat="1" applyBorder="1" applyAlignment="1">
      <alignment horizontal="center"/>
    </xf>
    <xf numFmtId="165" fontId="4" fillId="0" borderId="24" xfId="3" applyNumberFormat="1" applyBorder="1" applyAlignment="1">
      <alignment horizontal="center"/>
    </xf>
    <xf numFmtId="165" fontId="4" fillId="0" borderId="25" xfId="3" applyNumberFormat="1" applyBorder="1" applyAlignment="1">
      <alignment horizontal="center"/>
    </xf>
    <xf numFmtId="166" fontId="4" fillId="0" borderId="23" xfId="3" applyNumberFormat="1" applyBorder="1" applyAlignment="1">
      <alignment horizontal="center"/>
    </xf>
    <xf numFmtId="166" fontId="4" fillId="0" borderId="24" xfId="3" applyNumberFormat="1" applyBorder="1" applyAlignment="1">
      <alignment horizontal="center"/>
    </xf>
    <xf numFmtId="166" fontId="4" fillId="0" borderId="25" xfId="3" applyNumberFormat="1" applyBorder="1" applyAlignment="1">
      <alignment horizontal="center"/>
    </xf>
    <xf numFmtId="0" fontId="10" fillId="2" borderId="13" xfId="3" applyFont="1" applyFill="1" applyBorder="1" applyAlignment="1">
      <alignment horizontal="center" wrapText="1"/>
    </xf>
    <xf numFmtId="0" fontId="10" fillId="2" borderId="14" xfId="3" applyFont="1" applyFill="1" applyBorder="1" applyAlignment="1">
      <alignment horizontal="center" wrapText="1"/>
    </xf>
    <xf numFmtId="0" fontId="10" fillId="2" borderId="15" xfId="3" applyFont="1" applyFill="1" applyBorder="1" applyAlignment="1">
      <alignment horizontal="center" wrapText="1"/>
    </xf>
    <xf numFmtId="0" fontId="10" fillId="2" borderId="16" xfId="3" applyFont="1" applyFill="1" applyBorder="1" applyAlignment="1">
      <alignment horizontal="center" wrapText="1"/>
    </xf>
    <xf numFmtId="0" fontId="10" fillId="2" borderId="17" xfId="3" applyFont="1" applyFill="1" applyBorder="1" applyAlignment="1">
      <alignment horizontal="center" wrapText="1"/>
    </xf>
    <xf numFmtId="0" fontId="10" fillId="2" borderId="18" xfId="3" applyFont="1" applyFill="1" applyBorder="1" applyAlignment="1">
      <alignment horizontal="center" wrapText="1"/>
    </xf>
    <xf numFmtId="0" fontId="0" fillId="0" borderId="21" xfId="0" applyBorder="1"/>
    <xf numFmtId="0" fontId="0" fillId="0" borderId="21" xfId="0" applyBorder="1" applyAlignment="1">
      <alignment horizontal="center"/>
    </xf>
    <xf numFmtId="10" fontId="0" fillId="0" borderId="21" xfId="2" applyNumberFormat="1" applyFont="1" applyBorder="1"/>
    <xf numFmtId="44" fontId="0" fillId="0" borderId="21" xfId="1" applyFont="1" applyBorder="1"/>
    <xf numFmtId="44" fontId="0" fillId="0" borderId="21" xfId="1" applyFont="1" applyBorder="1" applyAlignment="1">
      <alignment horizontal="center"/>
    </xf>
    <xf numFmtId="9" fontId="0" fillId="3" borderId="21" xfId="2" applyFont="1" applyFill="1" applyBorder="1" applyAlignment="1">
      <alignment horizontal="center"/>
    </xf>
    <xf numFmtId="44" fontId="0" fillId="3" borderId="21" xfId="1" applyFont="1" applyFill="1" applyBorder="1"/>
    <xf numFmtId="44" fontId="0" fillId="3" borderId="21" xfId="0" applyNumberFormat="1" applyFill="1" applyBorder="1"/>
    <xf numFmtId="44" fontId="0" fillId="0" borderId="21" xfId="0" applyNumberFormat="1" applyBorder="1"/>
    <xf numFmtId="10" fontId="0" fillId="4" borderId="21" xfId="2" applyNumberFormat="1" applyFont="1" applyFill="1" applyBorder="1"/>
    <xf numFmtId="0" fontId="0" fillId="0" borderId="28" xfId="0" applyBorder="1"/>
    <xf numFmtId="0" fontId="5" fillId="0" borderId="28" xfId="3" applyFont="1" applyBorder="1"/>
    <xf numFmtId="0" fontId="6" fillId="0" borderId="28" xfId="3" applyFont="1" applyBorder="1"/>
    <xf numFmtId="0" fontId="5" fillId="0" borderId="29" xfId="3" applyFont="1" applyBorder="1"/>
    <xf numFmtId="0" fontId="6" fillId="0" borderId="29" xfId="3" applyFont="1" applyBorder="1"/>
    <xf numFmtId="0" fontId="0" fillId="0" borderId="30" xfId="0" applyBorder="1"/>
    <xf numFmtId="0" fontId="8" fillId="0" borderId="30" xfId="3" applyFont="1" applyBorder="1" applyAlignment="1">
      <alignment horizontal="left"/>
    </xf>
    <xf numFmtId="0" fontId="4" fillId="0" borderId="30" xfId="3" applyBorder="1"/>
    <xf numFmtId="0" fontId="8" fillId="0" borderId="31" xfId="3" applyFont="1" applyBorder="1" applyAlignment="1">
      <alignment horizontal="left"/>
    </xf>
    <xf numFmtId="0" fontId="4" fillId="0" borderId="31" xfId="3" applyBorder="1"/>
    <xf numFmtId="0" fontId="0" fillId="0" borderId="36" xfId="0" applyBorder="1"/>
    <xf numFmtId="0" fontId="10" fillId="5" borderId="47" xfId="3" applyFont="1" applyFill="1" applyBorder="1" applyAlignment="1">
      <alignment horizontal="center" wrapText="1"/>
    </xf>
    <xf numFmtId="0" fontId="10" fillId="5" borderId="48" xfId="3" applyFont="1" applyFill="1" applyBorder="1" applyAlignment="1">
      <alignment horizontal="center" wrapText="1"/>
    </xf>
    <xf numFmtId="0" fontId="10" fillId="5" borderId="49" xfId="3" applyFont="1" applyFill="1" applyBorder="1" applyAlignment="1">
      <alignment horizontal="center" wrapText="1"/>
    </xf>
    <xf numFmtId="0" fontId="10" fillId="5" borderId="13" xfId="3" applyFont="1" applyFill="1" applyBorder="1" applyAlignment="1">
      <alignment horizontal="center" wrapText="1"/>
    </xf>
    <xf numFmtId="0" fontId="10" fillId="5" borderId="14" xfId="3" applyFont="1" applyFill="1" applyBorder="1" applyAlignment="1">
      <alignment horizontal="center" wrapText="1"/>
    </xf>
    <xf numFmtId="0" fontId="10" fillId="5" borderId="15" xfId="3" applyFont="1" applyFill="1" applyBorder="1" applyAlignment="1">
      <alignment horizontal="center" wrapText="1"/>
    </xf>
    <xf numFmtId="0" fontId="10" fillId="5" borderId="16" xfId="3" applyFont="1" applyFill="1" applyBorder="1" applyAlignment="1">
      <alignment horizontal="center" wrapText="1"/>
    </xf>
    <xf numFmtId="0" fontId="10" fillId="5" borderId="17" xfId="3" applyFont="1" applyFill="1" applyBorder="1" applyAlignment="1">
      <alignment horizontal="center" wrapText="1"/>
    </xf>
    <xf numFmtId="0" fontId="10" fillId="5" borderId="51" xfId="3" applyFont="1" applyFill="1" applyBorder="1" applyAlignment="1">
      <alignment horizontal="center" wrapText="1"/>
    </xf>
    <xf numFmtId="0" fontId="4" fillId="0" borderId="46" xfId="3" applyBorder="1" applyAlignment="1">
      <alignment horizontal="center"/>
    </xf>
    <xf numFmtId="0" fontId="4" fillId="0" borderId="47" xfId="3" applyBorder="1" applyAlignment="1">
      <alignment horizontal="center"/>
    </xf>
    <xf numFmtId="0" fontId="4" fillId="0" borderId="48" xfId="3" applyBorder="1" applyAlignment="1">
      <alignment horizontal="center"/>
    </xf>
    <xf numFmtId="0" fontId="4" fillId="0" borderId="49" xfId="3" applyBorder="1" applyAlignment="1">
      <alignment horizontal="center"/>
    </xf>
    <xf numFmtId="165" fontId="4" fillId="0" borderId="47" xfId="3" applyNumberFormat="1" applyBorder="1" applyAlignment="1">
      <alignment horizontal="center"/>
    </xf>
    <xf numFmtId="165" fontId="4" fillId="0" borderId="48" xfId="3" applyNumberFormat="1" applyBorder="1" applyAlignment="1">
      <alignment horizontal="center"/>
    </xf>
    <xf numFmtId="165" fontId="4" fillId="0" borderId="49" xfId="3" applyNumberFormat="1" applyBorder="1" applyAlignment="1">
      <alignment horizontal="center"/>
    </xf>
    <xf numFmtId="166" fontId="4" fillId="0" borderId="47" xfId="3" applyNumberFormat="1" applyBorder="1" applyAlignment="1">
      <alignment horizontal="center"/>
    </xf>
    <xf numFmtId="166" fontId="4" fillId="0" borderId="48" xfId="3" applyNumberFormat="1" applyBorder="1" applyAlignment="1">
      <alignment horizontal="center"/>
    </xf>
    <xf numFmtId="166" fontId="4" fillId="0" borderId="49" xfId="3" applyNumberFormat="1" applyBorder="1" applyAlignment="1">
      <alignment horizontal="center"/>
    </xf>
    <xf numFmtId="0" fontId="0" fillId="0" borderId="52" xfId="0" applyBorder="1"/>
    <xf numFmtId="0" fontId="4" fillId="0" borderId="53" xfId="3" applyBorder="1" applyAlignment="1">
      <alignment horizontal="center"/>
    </xf>
    <xf numFmtId="166" fontId="4" fillId="0" borderId="54" xfId="3" applyNumberFormat="1" applyBorder="1" applyAlignment="1">
      <alignment horizontal="center"/>
    </xf>
    <xf numFmtId="0" fontId="0" fillId="0" borderId="55" xfId="0" applyBorder="1"/>
    <xf numFmtId="0" fontId="0" fillId="0" borderId="56" xfId="0" applyBorder="1"/>
    <xf numFmtId="0" fontId="4" fillId="0" borderId="57" xfId="3" applyBorder="1" applyAlignment="1">
      <alignment horizontal="center"/>
    </xf>
    <xf numFmtId="0" fontId="4" fillId="0" borderId="58" xfId="3" applyBorder="1" applyAlignment="1">
      <alignment horizontal="center"/>
    </xf>
    <xf numFmtId="0" fontId="4" fillId="0" borderId="59" xfId="3" applyBorder="1" applyAlignment="1">
      <alignment horizontal="center"/>
    </xf>
    <xf numFmtId="0" fontId="4" fillId="0" borderId="60" xfId="3" applyBorder="1" applyAlignment="1">
      <alignment horizontal="center"/>
    </xf>
    <xf numFmtId="165" fontId="4" fillId="0" borderId="58" xfId="3" applyNumberFormat="1" applyBorder="1" applyAlignment="1">
      <alignment horizontal="center"/>
    </xf>
    <xf numFmtId="165" fontId="4" fillId="0" borderId="59" xfId="3" applyNumberFormat="1" applyBorder="1" applyAlignment="1">
      <alignment horizontal="center"/>
    </xf>
    <xf numFmtId="165" fontId="4" fillId="0" borderId="60" xfId="3" applyNumberFormat="1" applyBorder="1" applyAlignment="1">
      <alignment horizontal="center"/>
    </xf>
    <xf numFmtId="166" fontId="4" fillId="0" borderId="58" xfId="3" applyNumberFormat="1" applyBorder="1" applyAlignment="1">
      <alignment horizontal="center"/>
    </xf>
    <xf numFmtId="166" fontId="4" fillId="0" borderId="59" xfId="3" applyNumberFormat="1" applyBorder="1" applyAlignment="1">
      <alignment horizontal="center"/>
    </xf>
    <xf numFmtId="166" fontId="4" fillId="0" borderId="60" xfId="3" applyNumberFormat="1" applyBorder="1" applyAlignment="1">
      <alignment horizontal="center"/>
    </xf>
    <xf numFmtId="0" fontId="4" fillId="0" borderId="61" xfId="3" applyBorder="1" applyAlignment="1">
      <alignment horizontal="center"/>
    </xf>
    <xf numFmtId="0" fontId="4" fillId="0" borderId="62" xfId="3" applyBorder="1" applyAlignment="1">
      <alignment horizontal="center"/>
    </xf>
    <xf numFmtId="0" fontId="4" fillId="0" borderId="63" xfId="3" applyBorder="1" applyAlignment="1">
      <alignment horizontal="center"/>
    </xf>
    <xf numFmtId="0" fontId="4" fillId="0" borderId="64" xfId="3" applyBorder="1" applyAlignment="1">
      <alignment horizontal="center"/>
    </xf>
    <xf numFmtId="0" fontId="4" fillId="0" borderId="65" xfId="3" applyBorder="1" applyAlignment="1">
      <alignment horizontal="center"/>
    </xf>
    <xf numFmtId="165" fontId="4" fillId="0" borderId="63" xfId="3" applyNumberFormat="1" applyBorder="1" applyAlignment="1">
      <alignment horizontal="center"/>
    </xf>
    <xf numFmtId="165" fontId="4" fillId="0" borderId="64" xfId="3" applyNumberFormat="1" applyBorder="1" applyAlignment="1">
      <alignment horizontal="center"/>
    </xf>
    <xf numFmtId="165" fontId="4" fillId="0" borderId="65" xfId="3" applyNumberFormat="1" applyBorder="1" applyAlignment="1">
      <alignment horizontal="center"/>
    </xf>
    <xf numFmtId="166" fontId="4" fillId="0" borderId="63" xfId="3" applyNumberFormat="1" applyBorder="1" applyAlignment="1">
      <alignment horizontal="center"/>
    </xf>
    <xf numFmtId="166" fontId="4" fillId="0" borderId="64" xfId="3" applyNumberFormat="1" applyBorder="1" applyAlignment="1">
      <alignment horizontal="center"/>
    </xf>
    <xf numFmtId="166" fontId="4" fillId="0" borderId="66" xfId="3" applyNumberFormat="1" applyBorder="1" applyAlignment="1">
      <alignment horizontal="center"/>
    </xf>
    <xf numFmtId="0" fontId="0" fillId="0" borderId="67" xfId="0" applyBorder="1"/>
    <xf numFmtId="0" fontId="12" fillId="0" borderId="0" xfId="0" applyFont="1" applyAlignment="1">
      <alignment vertical="center"/>
    </xf>
    <xf numFmtId="0" fontId="13" fillId="0" borderId="0" xfId="0" applyFont="1"/>
    <xf numFmtId="164" fontId="0" fillId="0" borderId="0" xfId="1" applyNumberFormat="1" applyFont="1" applyAlignment="1">
      <alignment horizontal="center"/>
    </xf>
    <xf numFmtId="164" fontId="0" fillId="0" borderId="21" xfId="1" applyNumberFormat="1" applyFont="1" applyBorder="1"/>
    <xf numFmtId="164" fontId="0" fillId="3" borderId="21" xfId="1" applyNumberFormat="1" applyFont="1" applyFill="1" applyBorder="1"/>
    <xf numFmtId="164" fontId="0" fillId="6" borderId="21" xfId="0" applyNumberFormat="1" applyFill="1" applyBorder="1"/>
    <xf numFmtId="0" fontId="13" fillId="0" borderId="0" xfId="0" applyFont="1" applyAlignment="1">
      <alignment horizontal="right"/>
    </xf>
    <xf numFmtId="0" fontId="0" fillId="5" borderId="21" xfId="0" applyFill="1" applyBorder="1" applyAlignment="1">
      <alignment horizontal="center"/>
    </xf>
    <xf numFmtId="164" fontId="0" fillId="5" borderId="21" xfId="1" applyNumberFormat="1" applyFont="1" applyFill="1" applyBorder="1"/>
    <xf numFmtId="164" fontId="0" fillId="6" borderId="68" xfId="1" applyNumberFormat="1" applyFont="1" applyFill="1" applyBorder="1"/>
    <xf numFmtId="0" fontId="0" fillId="0" borderId="69" xfId="0" applyBorder="1" applyAlignment="1">
      <alignment horizontal="center"/>
    </xf>
    <xf numFmtId="0" fontId="3" fillId="2" borderId="0" xfId="0" applyFont="1" applyFill="1" applyAlignment="1">
      <alignment horizontal="center" vertical="center" wrapText="1"/>
    </xf>
    <xf numFmtId="164" fontId="3" fillId="2" borderId="0" xfId="1" applyNumberFormat="1" applyFont="1" applyFill="1" applyAlignment="1">
      <alignment horizontal="center" vertical="center" wrapText="1"/>
    </xf>
    <xf numFmtId="10" fontId="3" fillId="2" borderId="0" xfId="2" applyNumberFormat="1" applyFont="1" applyFill="1" applyAlignment="1">
      <alignment horizontal="center" vertical="center" wrapText="1"/>
    </xf>
    <xf numFmtId="44" fontId="3" fillId="2" borderId="0" xfId="1" applyFont="1" applyFill="1" applyAlignment="1">
      <alignment horizontal="center" vertical="center" wrapText="1"/>
    </xf>
    <xf numFmtId="9" fontId="0" fillId="4" borderId="21" xfId="2" applyFont="1" applyFill="1" applyBorder="1" applyAlignment="1">
      <alignment horizontal="center"/>
    </xf>
    <xf numFmtId="0" fontId="0" fillId="0" borderId="0" xfId="0" applyAlignment="1">
      <alignment vertical="top" wrapText="1"/>
    </xf>
    <xf numFmtId="0" fontId="2" fillId="0" borderId="0" xfId="0" applyFont="1" applyAlignment="1">
      <alignment vertical="top" wrapText="1"/>
    </xf>
    <xf numFmtId="44" fontId="0" fillId="3" borderId="21" xfId="1" applyFont="1" applyFill="1" applyBorder="1" applyAlignment="1">
      <alignment horizontal="center"/>
    </xf>
    <xf numFmtId="164" fontId="0" fillId="0" borderId="26" xfId="1" applyNumberFormat="1" applyFont="1" applyBorder="1"/>
    <xf numFmtId="164" fontId="0" fillId="0" borderId="27" xfId="1" applyNumberFormat="1" applyFont="1" applyBorder="1"/>
    <xf numFmtId="0" fontId="0" fillId="0" borderId="70" xfId="0" applyBorder="1" applyAlignment="1">
      <alignment horizontal="center"/>
    </xf>
    <xf numFmtId="164" fontId="14" fillId="0" borderId="0" xfId="1" applyNumberFormat="1" applyFont="1" applyAlignment="1">
      <alignment horizontal="center" vertical="center" wrapText="1"/>
    </xf>
    <xf numFmtId="0" fontId="3" fillId="7" borderId="0" xfId="0" applyFont="1" applyFill="1" applyAlignment="1">
      <alignment horizontal="center" vertical="center" wrapText="1"/>
    </xf>
    <xf numFmtId="44" fontId="3" fillId="7" borderId="0" xfId="1" applyFont="1" applyFill="1" applyAlignment="1">
      <alignment horizontal="center" vertical="center" wrapText="1"/>
    </xf>
    <xf numFmtId="9" fontId="3" fillId="8" borderId="0" xfId="2" applyFont="1" applyFill="1" applyAlignment="1">
      <alignment horizontal="center" vertical="center" wrapText="1"/>
    </xf>
    <xf numFmtId="0" fontId="3" fillId="8" borderId="0" xfId="0" applyFont="1" applyFill="1" applyAlignment="1">
      <alignment horizontal="center" vertical="center" wrapText="1"/>
    </xf>
    <xf numFmtId="44" fontId="3" fillId="8" borderId="0" xfId="1" applyFont="1" applyFill="1" applyAlignment="1">
      <alignment horizontal="center" vertical="center" wrapText="1"/>
    </xf>
    <xf numFmtId="9" fontId="0" fillId="0" borderId="0" xfId="2" applyFont="1" applyFill="1" applyBorder="1" applyAlignment="1">
      <alignment horizontal="center"/>
    </xf>
    <xf numFmtId="0" fontId="0" fillId="0" borderId="0" xfId="0" applyAlignment="1" applyProtection="1">
      <alignment horizontal="center"/>
      <protection locked="0"/>
    </xf>
    <xf numFmtId="44" fontId="0" fillId="0" borderId="0" xfId="1" applyFont="1" applyFill="1"/>
    <xf numFmtId="44" fontId="0" fillId="0" borderId="0" xfId="0" applyNumberFormat="1"/>
    <xf numFmtId="0" fontId="11" fillId="5" borderId="42" xfId="3" applyFont="1" applyFill="1" applyBorder="1" applyAlignment="1">
      <alignment horizontal="center"/>
    </xf>
    <xf numFmtId="0" fontId="11" fillId="5" borderId="43" xfId="3" applyFont="1" applyFill="1" applyBorder="1" applyAlignment="1">
      <alignment horizontal="center"/>
    </xf>
    <xf numFmtId="0" fontId="11" fillId="5" borderId="41" xfId="3" applyFont="1" applyFill="1" applyBorder="1" applyAlignment="1">
      <alignment horizontal="center"/>
    </xf>
    <xf numFmtId="0" fontId="11" fillId="5" borderId="44" xfId="3" applyFont="1" applyFill="1" applyBorder="1" applyAlignment="1">
      <alignment horizontal="center"/>
    </xf>
    <xf numFmtId="0" fontId="11" fillId="5" borderId="45" xfId="3" applyFont="1" applyFill="1" applyBorder="1" applyAlignment="1">
      <alignment horizontal="center"/>
    </xf>
    <xf numFmtId="0" fontId="4" fillId="0" borderId="20" xfId="3" applyBorder="1" applyAlignment="1">
      <alignment horizontal="center"/>
    </xf>
    <xf numFmtId="0" fontId="4" fillId="0" borderId="21" xfId="3" applyBorder="1" applyAlignment="1">
      <alignment horizontal="center"/>
    </xf>
    <xf numFmtId="0" fontId="4" fillId="0" borderId="12" xfId="3" applyBorder="1" applyAlignment="1">
      <alignment horizontal="center"/>
    </xf>
    <xf numFmtId="0" fontId="9" fillId="5" borderId="37" xfId="3" applyFont="1" applyFill="1" applyBorder="1" applyAlignment="1">
      <alignment horizontal="center" wrapText="1"/>
    </xf>
    <xf numFmtId="0" fontId="9" fillId="5" borderId="50" xfId="3" applyFont="1" applyFill="1" applyBorder="1" applyAlignment="1">
      <alignment horizontal="center" wrapText="1"/>
    </xf>
    <xf numFmtId="0" fontId="9" fillId="5" borderId="38" xfId="3" applyFont="1" applyFill="1" applyBorder="1" applyAlignment="1">
      <alignment horizontal="center" wrapText="1"/>
    </xf>
    <xf numFmtId="0" fontId="9" fillId="5" borderId="9" xfId="3" applyFont="1" applyFill="1" applyBorder="1" applyAlignment="1">
      <alignment horizontal="center" wrapText="1"/>
    </xf>
    <xf numFmtId="0" fontId="10" fillId="5" borderId="39" xfId="3" applyFont="1" applyFill="1" applyBorder="1" applyAlignment="1">
      <alignment horizontal="center" wrapText="1"/>
    </xf>
    <xf numFmtId="0" fontId="10" fillId="5" borderId="10" xfId="3" applyFont="1" applyFill="1" applyBorder="1" applyAlignment="1">
      <alignment horizontal="center" wrapText="1"/>
    </xf>
    <xf numFmtId="0" fontId="10" fillId="5" borderId="40" xfId="3" applyFont="1" applyFill="1" applyBorder="1" applyAlignment="1">
      <alignment horizontal="center" wrapText="1"/>
    </xf>
    <xf numFmtId="0" fontId="10" fillId="5" borderId="11" xfId="3" applyFont="1" applyFill="1" applyBorder="1" applyAlignment="1">
      <alignment horizontal="center" wrapText="1"/>
    </xf>
    <xf numFmtId="0" fontId="10" fillId="5" borderId="41" xfId="3" applyFont="1" applyFill="1" applyBorder="1" applyAlignment="1">
      <alignment horizontal="center" wrapText="1"/>
    </xf>
    <xf numFmtId="0" fontId="10" fillId="5" borderId="12" xfId="3" applyFont="1" applyFill="1" applyBorder="1" applyAlignment="1">
      <alignment horizontal="center" wrapText="1"/>
    </xf>
    <xf numFmtId="0" fontId="4" fillId="0" borderId="47" xfId="3" applyBorder="1" applyAlignment="1">
      <alignment horizontal="center"/>
    </xf>
    <xf numFmtId="0" fontId="4" fillId="0" borderId="48" xfId="3" applyBorder="1" applyAlignment="1">
      <alignment horizontal="center"/>
    </xf>
    <xf numFmtId="0" fontId="4" fillId="0" borderId="49" xfId="3" applyBorder="1" applyAlignment="1">
      <alignment horizontal="center"/>
    </xf>
    <xf numFmtId="0" fontId="11" fillId="5" borderId="33" xfId="3" applyFont="1" applyFill="1" applyBorder="1" applyAlignment="1">
      <alignment horizontal="center"/>
    </xf>
    <xf numFmtId="0" fontId="11" fillId="5" borderId="34" xfId="3" applyFont="1" applyFill="1" applyBorder="1" applyAlignment="1">
      <alignment horizontal="center"/>
    </xf>
    <xf numFmtId="0" fontId="11" fillId="5" borderId="35" xfId="3" applyFont="1" applyFill="1" applyBorder="1" applyAlignment="1">
      <alignment horizontal="center"/>
    </xf>
    <xf numFmtId="0" fontId="9" fillId="5" borderId="32" xfId="3" applyFont="1" applyFill="1" applyBorder="1" applyAlignment="1">
      <alignment horizontal="center" wrapText="1"/>
    </xf>
    <xf numFmtId="0" fontId="9" fillId="5" borderId="46" xfId="3" applyFont="1" applyFill="1" applyBorder="1" applyAlignment="1">
      <alignment horizontal="center" wrapText="1"/>
    </xf>
    <xf numFmtId="0" fontId="10" fillId="5" borderId="33" xfId="3" applyFont="1" applyFill="1" applyBorder="1" applyAlignment="1">
      <alignment horizontal="center" wrapText="1"/>
    </xf>
    <xf numFmtId="0" fontId="10" fillId="5" borderId="47" xfId="3" applyFont="1" applyFill="1" applyBorder="1" applyAlignment="1">
      <alignment horizontal="center" wrapText="1"/>
    </xf>
    <xf numFmtId="0" fontId="10" fillId="5" borderId="34" xfId="3" applyFont="1" applyFill="1" applyBorder="1" applyAlignment="1">
      <alignment horizontal="center" wrapText="1"/>
    </xf>
    <xf numFmtId="0" fontId="10" fillId="5" borderId="48" xfId="3" applyFont="1" applyFill="1" applyBorder="1" applyAlignment="1">
      <alignment horizontal="center" wrapText="1"/>
    </xf>
    <xf numFmtId="0" fontId="10" fillId="5" borderId="35" xfId="3" applyFont="1" applyFill="1" applyBorder="1" applyAlignment="1">
      <alignment horizontal="center" wrapText="1"/>
    </xf>
    <xf numFmtId="0" fontId="10" fillId="5" borderId="49" xfId="3" applyFont="1" applyFill="1" applyBorder="1" applyAlignment="1">
      <alignment horizontal="center" wrapText="1"/>
    </xf>
    <xf numFmtId="0" fontId="11" fillId="2" borderId="6" xfId="3" applyFont="1" applyFill="1" applyBorder="1" applyAlignment="1">
      <alignment horizontal="center"/>
    </xf>
    <xf numFmtId="0" fontId="11" fillId="2" borderId="7" xfId="3" applyFont="1" applyFill="1" applyBorder="1" applyAlignment="1">
      <alignment horizontal="center"/>
    </xf>
    <xf numFmtId="0" fontId="11" fillId="2" borderId="5" xfId="3" applyFont="1" applyFill="1" applyBorder="1" applyAlignment="1">
      <alignment horizontal="center"/>
    </xf>
    <xf numFmtId="0" fontId="11" fillId="2" borderId="8" xfId="3" applyFont="1" applyFill="1" applyBorder="1" applyAlignment="1">
      <alignment horizontal="center"/>
    </xf>
    <xf numFmtId="0" fontId="9" fillId="2" borderId="2" xfId="3" applyFont="1" applyFill="1" applyBorder="1" applyAlignment="1">
      <alignment horizontal="center" wrapText="1"/>
    </xf>
    <xf numFmtId="0" fontId="9" fillId="2" borderId="9" xfId="3" applyFont="1" applyFill="1" applyBorder="1" applyAlignment="1">
      <alignment horizontal="center" wrapText="1"/>
    </xf>
    <xf numFmtId="0" fontId="10" fillId="2" borderId="3" xfId="3" applyFont="1" applyFill="1" applyBorder="1" applyAlignment="1">
      <alignment horizontal="center" wrapText="1"/>
    </xf>
    <xf numFmtId="0" fontId="10" fillId="2" borderId="10" xfId="3" applyFont="1" applyFill="1" applyBorder="1" applyAlignment="1">
      <alignment horizontal="center" wrapText="1"/>
    </xf>
    <xf numFmtId="0" fontId="10" fillId="2" borderId="4" xfId="3" applyFont="1" applyFill="1" applyBorder="1" applyAlignment="1">
      <alignment horizontal="center" wrapText="1"/>
    </xf>
    <xf numFmtId="0" fontId="10" fillId="2" borderId="11" xfId="3" applyFont="1" applyFill="1" applyBorder="1" applyAlignment="1">
      <alignment horizontal="center" wrapText="1"/>
    </xf>
    <xf numFmtId="0" fontId="10" fillId="2" borderId="5" xfId="3" applyFont="1" applyFill="1" applyBorder="1" applyAlignment="1">
      <alignment horizontal="center" wrapText="1"/>
    </xf>
    <xf numFmtId="0" fontId="10" fillId="2" borderId="12" xfId="3" applyFont="1" applyFill="1" applyBorder="1" applyAlignment="1">
      <alignment horizontal="center" wrapText="1"/>
    </xf>
  </cellXfs>
  <cellStyles count="4">
    <cellStyle name="Currency" xfId="1" builtinId="4"/>
    <cellStyle name="Normal" xfId="0" builtinId="0"/>
    <cellStyle name="Normal 2" xfId="3" xr:uid="{EA788F3E-AF69-471D-9CAA-B17BD2DD5D15}"/>
    <cellStyle name="Percent" xfId="2" builtinId="5"/>
  </cellStyles>
  <dxfs count="3">
    <dxf>
      <font>
        <color rgb="FF9C0006"/>
      </font>
    </dxf>
    <dxf>
      <font>
        <color rgb="FF9C0006"/>
      </font>
    </dxf>
    <dxf>
      <font>
        <color rgb="FF9C0006"/>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A5ECB0-EC7C-48E6-BA87-0634DC624D24}">
  <sheetPr>
    <tabColor theme="0" tint="-0.14999847407452621"/>
  </sheetPr>
  <dimension ref="A1:A40"/>
  <sheetViews>
    <sheetView workbookViewId="0">
      <selection activeCell="A21" sqref="A21"/>
    </sheetView>
  </sheetViews>
  <sheetFormatPr defaultRowHeight="15" x14ac:dyDescent="0.25"/>
  <cols>
    <col min="1" max="1" width="192.140625" style="125" customWidth="1"/>
  </cols>
  <sheetData>
    <row r="1" spans="1:1" x14ac:dyDescent="0.25">
      <c r="A1" s="126" t="s">
        <v>123</v>
      </c>
    </row>
    <row r="2" spans="1:1" x14ac:dyDescent="0.25">
      <c r="A2" s="125" t="s">
        <v>110</v>
      </c>
    </row>
    <row r="3" spans="1:1" x14ac:dyDescent="0.25">
      <c r="A3" s="125" t="s">
        <v>125</v>
      </c>
    </row>
    <row r="4" spans="1:1" x14ac:dyDescent="0.25">
      <c r="A4" s="125" t="s">
        <v>121</v>
      </c>
    </row>
    <row r="6" spans="1:1" x14ac:dyDescent="0.25">
      <c r="A6" s="126" t="s">
        <v>101</v>
      </c>
    </row>
    <row r="7" spans="1:1" x14ac:dyDescent="0.25">
      <c r="A7" s="125" t="s">
        <v>117</v>
      </c>
    </row>
    <row r="8" spans="1:1" x14ac:dyDescent="0.25">
      <c r="A8" s="125" t="s">
        <v>116</v>
      </c>
    </row>
    <row r="9" spans="1:1" x14ac:dyDescent="0.25">
      <c r="A9" s="125" t="s">
        <v>113</v>
      </c>
    </row>
    <row r="10" spans="1:1" x14ac:dyDescent="0.25">
      <c r="A10" s="125" t="s">
        <v>114</v>
      </c>
    </row>
    <row r="11" spans="1:1" x14ac:dyDescent="0.25">
      <c r="A11" s="125" t="s">
        <v>115</v>
      </c>
    </row>
    <row r="12" spans="1:1" x14ac:dyDescent="0.25">
      <c r="A12" s="125" t="s">
        <v>124</v>
      </c>
    </row>
    <row r="13" spans="1:1" x14ac:dyDescent="0.25">
      <c r="A13" s="125" t="s">
        <v>102</v>
      </c>
    </row>
    <row r="15" spans="1:1" x14ac:dyDescent="0.25">
      <c r="A15" s="126" t="s">
        <v>103</v>
      </c>
    </row>
    <row r="16" spans="1:1" x14ac:dyDescent="0.25">
      <c r="A16" s="125" t="s">
        <v>104</v>
      </c>
    </row>
    <row r="17" spans="1:1" ht="15" customHeight="1" x14ac:dyDescent="0.25">
      <c r="A17" s="125" t="s">
        <v>105</v>
      </c>
    </row>
    <row r="18" spans="1:1" ht="15" customHeight="1" x14ac:dyDescent="0.25">
      <c r="A18" s="125" t="s">
        <v>106</v>
      </c>
    </row>
    <row r="19" spans="1:1" ht="15" customHeight="1" x14ac:dyDescent="0.25">
      <c r="A19" s="125" t="s">
        <v>151</v>
      </c>
    </row>
    <row r="20" spans="1:1" ht="15" customHeight="1" x14ac:dyDescent="0.25">
      <c r="A20" s="125" t="s">
        <v>167</v>
      </c>
    </row>
    <row r="21" spans="1:1" x14ac:dyDescent="0.25">
      <c r="A21" s="125" t="s">
        <v>152</v>
      </c>
    </row>
    <row r="22" spans="1:1" x14ac:dyDescent="0.25">
      <c r="A22" s="125" t="s">
        <v>153</v>
      </c>
    </row>
    <row r="23" spans="1:1" x14ac:dyDescent="0.25">
      <c r="A23" s="125" t="s">
        <v>154</v>
      </c>
    </row>
    <row r="24" spans="1:1" ht="30" customHeight="1" x14ac:dyDescent="0.25">
      <c r="A24" s="125" t="s">
        <v>155</v>
      </c>
    </row>
    <row r="25" spans="1:1" ht="30" x14ac:dyDescent="0.25">
      <c r="A25" s="125" t="s">
        <v>156</v>
      </c>
    </row>
    <row r="26" spans="1:1" x14ac:dyDescent="0.25">
      <c r="A26" s="125" t="s">
        <v>157</v>
      </c>
    </row>
    <row r="27" spans="1:1" x14ac:dyDescent="0.25">
      <c r="A27" s="125" t="s">
        <v>158</v>
      </c>
    </row>
    <row r="28" spans="1:1" x14ac:dyDescent="0.25">
      <c r="A28" s="125" t="s">
        <v>159</v>
      </c>
    </row>
    <row r="29" spans="1:1" x14ac:dyDescent="0.25">
      <c r="A29" s="125" t="s">
        <v>160</v>
      </c>
    </row>
    <row r="30" spans="1:1" x14ac:dyDescent="0.25">
      <c r="A30" s="125" t="s">
        <v>107</v>
      </c>
    </row>
    <row r="31" spans="1:1" x14ac:dyDescent="0.25">
      <c r="A31" s="125" t="s">
        <v>111</v>
      </c>
    </row>
    <row r="32" spans="1:1" x14ac:dyDescent="0.25">
      <c r="A32" s="125" t="s">
        <v>112</v>
      </c>
    </row>
    <row r="33" spans="1:1" x14ac:dyDescent="0.25">
      <c r="A33" s="125" t="s">
        <v>108</v>
      </c>
    </row>
    <row r="34" spans="1:1" x14ac:dyDescent="0.25">
      <c r="A34" s="125" t="s">
        <v>109</v>
      </c>
    </row>
    <row r="35" spans="1:1" ht="30" x14ac:dyDescent="0.25">
      <c r="A35" s="125" t="s">
        <v>161</v>
      </c>
    </row>
    <row r="36" spans="1:1" ht="30" x14ac:dyDescent="0.25">
      <c r="A36" s="125" t="s">
        <v>162</v>
      </c>
    </row>
    <row r="37" spans="1:1" x14ac:dyDescent="0.25">
      <c r="A37" s="125" t="s">
        <v>163</v>
      </c>
    </row>
    <row r="38" spans="1:1" ht="30" x14ac:dyDescent="0.25">
      <c r="A38" s="125" t="s">
        <v>164</v>
      </c>
    </row>
    <row r="39" spans="1:1" ht="30" x14ac:dyDescent="0.25">
      <c r="A39" s="125" t="s">
        <v>165</v>
      </c>
    </row>
    <row r="40" spans="1:1" ht="30" x14ac:dyDescent="0.25">
      <c r="A40" s="125" t="s">
        <v>166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31BEB0-B3D4-4B8F-AC9D-3DC0925451D9}">
  <dimension ref="A2:J10"/>
  <sheetViews>
    <sheetView tabSelected="1" workbookViewId="0">
      <selection activeCell="L10" sqref="L10"/>
    </sheetView>
  </sheetViews>
  <sheetFormatPr defaultRowHeight="15" x14ac:dyDescent="0.25"/>
  <cols>
    <col min="1" max="1" width="11.7109375" customWidth="1"/>
    <col min="2" max="2" width="11.7109375" style="4" customWidth="1"/>
    <col min="3" max="3" width="17.7109375" style="111" customWidth="1"/>
    <col min="4" max="6" width="17.7109375" style="5" customWidth="1"/>
    <col min="7" max="10" width="17.7109375" customWidth="1"/>
  </cols>
  <sheetData>
    <row r="2" spans="1:10" ht="15.75" x14ac:dyDescent="0.25">
      <c r="A2" s="109" t="s">
        <v>89</v>
      </c>
    </row>
    <row r="3" spans="1:10" ht="16.5" thickBot="1" x14ac:dyDescent="0.3">
      <c r="A3" s="110" t="s">
        <v>90</v>
      </c>
      <c r="B3" s="119"/>
      <c r="C3" s="130"/>
    </row>
    <row r="4" spans="1:10" ht="17.25" thickTop="1" thickBot="1" x14ac:dyDescent="0.3">
      <c r="A4" s="110"/>
    </row>
    <row r="5" spans="1:10" ht="16.5" thickBot="1" x14ac:dyDescent="0.3">
      <c r="C5" s="115" t="s">
        <v>97</v>
      </c>
      <c r="D5" s="112">
        <f t="shared" ref="D5:J5" si="0">SUBTOTAL(9,D7:D5000)</f>
        <v>1900000</v>
      </c>
      <c r="E5" s="112">
        <f t="shared" si="0"/>
        <v>82500</v>
      </c>
      <c r="F5" s="128">
        <f t="shared" si="0"/>
        <v>78699.003759999992</v>
      </c>
      <c r="G5" s="118">
        <f t="shared" si="0"/>
        <v>3800.9962400000059</v>
      </c>
      <c r="H5" s="129">
        <f t="shared" si="0"/>
        <v>11498.334016000001</v>
      </c>
      <c r="I5" s="112">
        <f t="shared" si="0"/>
        <v>1714961.7377760001</v>
      </c>
      <c r="J5" s="112">
        <f t="shared" si="0"/>
        <v>181237.26598399985</v>
      </c>
    </row>
    <row r="6" spans="1:10" ht="30" customHeight="1" x14ac:dyDescent="0.25">
      <c r="B6" s="1" t="s">
        <v>91</v>
      </c>
      <c r="C6" s="1" t="s">
        <v>19</v>
      </c>
      <c r="D6" s="2" t="s">
        <v>20</v>
      </c>
      <c r="E6" s="2" t="s">
        <v>92</v>
      </c>
      <c r="F6" s="2" t="s">
        <v>93</v>
      </c>
      <c r="G6" s="2" t="s">
        <v>94</v>
      </c>
      <c r="H6" s="2" t="s">
        <v>95</v>
      </c>
      <c r="I6" s="2" t="s">
        <v>98</v>
      </c>
      <c r="J6" s="131" t="s">
        <v>122</v>
      </c>
    </row>
    <row r="7" spans="1:10" x14ac:dyDescent="0.25">
      <c r="B7" s="116" t="s">
        <v>47</v>
      </c>
      <c r="C7" s="116">
        <v>99901</v>
      </c>
      <c r="D7" s="117">
        <v>800000</v>
      </c>
      <c r="E7" s="117">
        <v>38000</v>
      </c>
      <c r="F7" s="113">
        <f>SUMIFS(Staff!$AO$4:$AO$500001,Staff!$I$4:$I$500001,B7,Staff!$J$4:$J$500001,C7)</f>
        <v>35799.692239999997</v>
      </c>
      <c r="G7" s="114">
        <f>E7-F7</f>
        <v>2200.3077600000033</v>
      </c>
      <c r="H7" s="113">
        <f>SUMIFS(Staff!$AP$4:$AP$500001,Staff!$I$4:$I$500001,B7,Staff!$J$4:$J$500001,C7)</f>
        <v>9223.8352960000011</v>
      </c>
      <c r="I7" s="113">
        <f>SUMIFS(Staff!$AM$4:$AM$500001,Staff!$I$4:$I$500001,B7,Staff!$J$4:$J$500001,C7)</f>
        <v>761018.10353600001</v>
      </c>
      <c r="J7" s="113">
        <f>D7-I7-G7</f>
        <v>36781.588703999987</v>
      </c>
    </row>
    <row r="8" spans="1:10" x14ac:dyDescent="0.25">
      <c r="B8" s="116" t="s">
        <v>48</v>
      </c>
      <c r="C8" s="116">
        <v>99902</v>
      </c>
      <c r="D8" s="117">
        <v>750000</v>
      </c>
      <c r="E8" s="117">
        <v>31500</v>
      </c>
      <c r="F8" s="113">
        <f>SUMIFS(Staff!$AO$4:$AO$500001,Staff!$I$4:$I$500001,B8,Staff!$J$4:$J$500001,C8)</f>
        <v>30414.840767999998</v>
      </c>
      <c r="G8" s="114">
        <f t="shared" ref="G8:G10" si="1">E8-F8</f>
        <v>1085.1592320000018</v>
      </c>
      <c r="H8" s="113">
        <f>SUMIFS(Staff!$AP$4:$AP$500001,Staff!$I$4:$I$500001,B8,Staff!$J$4:$J$500001,C8)</f>
        <v>454.89974399999994</v>
      </c>
      <c r="I8" s="113">
        <f>SUMIFS(Staff!$AM$4:$AM$500001,Staff!$I$4:$I$500001,B8,Staff!$J$4:$J$500001,C8)</f>
        <v>693876.78371200012</v>
      </c>
      <c r="J8" s="113">
        <f t="shared" ref="J8:J10" si="2">D8-I8-G8</f>
        <v>55038.057055999874</v>
      </c>
    </row>
    <row r="9" spans="1:10" x14ac:dyDescent="0.25">
      <c r="B9" s="116" t="s">
        <v>49</v>
      </c>
      <c r="C9" s="116">
        <v>99901</v>
      </c>
      <c r="D9" s="117">
        <v>150000</v>
      </c>
      <c r="E9" s="117">
        <v>5000</v>
      </c>
      <c r="F9" s="113">
        <f>SUMIFS(Staff!$AO$4:$AO$500001,Staff!$I$4:$I$500001,B9,Staff!$J$4:$J$500001,C9)</f>
        <v>4763.8112080000001</v>
      </c>
      <c r="G9" s="114">
        <f t="shared" si="1"/>
        <v>236.18879199999992</v>
      </c>
      <c r="H9" s="113">
        <f>SUMIFS(Staff!$AP$4:$AP$500001,Staff!$I$4:$I$500001,B9,Staff!$J$4:$J$500001,C9)</f>
        <v>1023.524424</v>
      </c>
      <c r="I9" s="113">
        <f>SUMIFS(Staff!$AM$4:$AM$500001,Staff!$I$4:$I$500001,B9,Staff!$J$4:$J$500001,C9)</f>
        <v>99565.238832000003</v>
      </c>
      <c r="J9" s="113">
        <f t="shared" si="2"/>
        <v>50198.572375999996</v>
      </c>
    </row>
    <row r="10" spans="1:10" x14ac:dyDescent="0.25">
      <c r="B10" s="116" t="s">
        <v>49</v>
      </c>
      <c r="C10" s="116">
        <v>99902</v>
      </c>
      <c r="D10" s="117">
        <v>200000</v>
      </c>
      <c r="E10" s="117">
        <v>8000</v>
      </c>
      <c r="F10" s="113">
        <f>SUMIFS(Staff!$AO$4:$AO$500001,Staff!$I$4:$I$500001,B10,Staff!$J$4:$J$500001,C10)</f>
        <v>7720.6595439999992</v>
      </c>
      <c r="G10" s="114">
        <f t="shared" si="1"/>
        <v>279.34045600000081</v>
      </c>
      <c r="H10" s="113">
        <f>SUMIFS(Staff!$AP$4:$AP$500001,Staff!$I$4:$I$500001,B10,Staff!$J$4:$J$500001,C10)</f>
        <v>796.07455199999981</v>
      </c>
      <c r="I10" s="113">
        <f>SUMIFS(Staff!$AM$4:$AM$500001,Staff!$I$4:$I$500001,B10,Staff!$J$4:$J$500001,C10)</f>
        <v>160501.61169600001</v>
      </c>
      <c r="J10" s="113">
        <f t="shared" si="2"/>
        <v>39219.047847999995</v>
      </c>
    </row>
  </sheetData>
  <autoFilter ref="A6:J6" xr:uid="{7D31BEB0-B3D4-4B8F-AC9D-3DC0925451D9}"/>
  <conditionalFormatting sqref="A2:A4 C5 B6:J6">
    <cfRule type="cellIs" dxfId="2" priority="2" operator="lessThan">
      <formula>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66E609-A283-4BFA-B3AE-C52F2EC47E3B}">
  <dimension ref="A1:AP32"/>
  <sheetViews>
    <sheetView workbookViewId="0">
      <selection activeCell="K30" sqref="K30:K32"/>
    </sheetView>
  </sheetViews>
  <sheetFormatPr defaultRowHeight="15" x14ac:dyDescent="0.25"/>
  <cols>
    <col min="1" max="1" width="22.7109375" customWidth="1"/>
    <col min="2" max="2" width="17.140625" customWidth="1"/>
    <col min="3" max="3" width="22.7109375" customWidth="1"/>
    <col min="4" max="6" width="17.7109375" customWidth="1"/>
    <col min="7" max="7" width="18.42578125" customWidth="1"/>
    <col min="8" max="8" width="12.42578125" customWidth="1"/>
    <col min="9" max="10" width="9.140625" style="4"/>
    <col min="11" max="11" width="9.140625" style="6"/>
    <col min="12" max="12" width="17.85546875" style="4" bestFit="1" customWidth="1"/>
    <col min="13" max="13" width="13.42578125" bestFit="1" customWidth="1"/>
    <col min="14" max="14" width="19" style="4" customWidth="1"/>
    <col min="15" max="15" width="16.5703125" style="4" customWidth="1"/>
    <col min="16" max="18" width="9.7109375" style="3" customWidth="1"/>
    <col min="19" max="19" width="9.140625" style="7"/>
    <col min="20" max="21" width="10.140625" customWidth="1"/>
    <col min="22" max="23" width="9.140625" style="4"/>
    <col min="24" max="25" width="9.7109375" style="3" customWidth="1"/>
    <col min="26" max="26" width="9.140625" style="6"/>
    <col min="27" max="27" width="9.140625" style="3"/>
    <col min="28" max="29" width="9.7109375" customWidth="1"/>
    <col min="31" max="31" width="9.7109375" style="3" customWidth="1"/>
    <col min="32" max="32" width="9.7109375" customWidth="1"/>
    <col min="35" max="35" width="3.7109375" customWidth="1"/>
    <col min="36" max="39" width="15.7109375" customWidth="1"/>
    <col min="40" max="40" width="3.7109375" customWidth="1"/>
    <col min="41" max="42" width="17.7109375" customWidth="1"/>
  </cols>
  <sheetData>
    <row r="1" spans="1:42" x14ac:dyDescent="0.25">
      <c r="K1" s="47">
        <f>SUBTOTAL(9, K4:K500001)</f>
        <v>25</v>
      </c>
      <c r="S1" s="47">
        <f>SUBTOTAL(1, S4:S500001)</f>
        <v>0.74682598954443657</v>
      </c>
      <c r="X1" s="49">
        <f>SUBTOTAL(9,X4:X500001)</f>
        <v>30.950000000000006</v>
      </c>
      <c r="Y1" s="49">
        <f>SUBTOTAL(9,Y4:Y500001)</f>
        <v>530.95000000000016</v>
      </c>
      <c r="Z1" s="124">
        <f>SUBTOTAL(1, Z4:Z500001)</f>
        <v>5.1999999999999991E-2</v>
      </c>
      <c r="AA1" s="49">
        <f>SUBTOTAL(9,AA4:AA500001)</f>
        <v>3.4</v>
      </c>
      <c r="AB1" s="49">
        <f>SUBTOTAL(9,AB4:AB500001)</f>
        <v>534.35000000000025</v>
      </c>
      <c r="AD1" s="47">
        <f>SUBTOTAL(1, AD4:AD500001)</f>
        <v>0.75629587253672881</v>
      </c>
      <c r="AE1" s="50">
        <f>SUBTOTAL(9,AE4:AE500001)</f>
        <v>1.1200000000000001</v>
      </c>
      <c r="AF1" s="49">
        <f>SUBTOTAL(9,AF4:AF500001)</f>
        <v>535.47000000000014</v>
      </c>
      <c r="AG1" s="47">
        <f>SUBTOTAL(1, AG4:AG500001)</f>
        <v>0.7576591160826226</v>
      </c>
      <c r="AH1" s="42">
        <f>(SUBTOTAL(1, AH4:AH500001))+1</f>
        <v>1.2215617241379313</v>
      </c>
      <c r="AJ1" s="49">
        <f>SUBTOTAL(9,AJ4:AJ500001)</f>
        <v>1113777.5999999999</v>
      </c>
      <c r="AK1" s="49">
        <f>SUBTOTAL(9,AK4:AK500001)</f>
        <v>247934.13777600011</v>
      </c>
      <c r="AL1" s="50">
        <f>SUBTOTAL(9,AL4:AL500001)</f>
        <v>353250</v>
      </c>
      <c r="AM1" s="49">
        <f>SUBTOTAL(9,AM4:AM500001)</f>
        <v>1714961.7377759994</v>
      </c>
      <c r="AO1" s="49">
        <f>SUBTOTAL(9,AO4:AO500001)</f>
        <v>78699.003760000021</v>
      </c>
      <c r="AP1" s="49">
        <f>SUBTOTAL(9,AP4:AP500001)</f>
        <v>11498.334016000001</v>
      </c>
    </row>
    <row r="2" spans="1:42" x14ac:dyDescent="0.25">
      <c r="K2" s="137"/>
      <c r="L2" s="138"/>
      <c r="P2" s="139"/>
      <c r="Q2" s="139"/>
      <c r="R2" s="139"/>
      <c r="S2" s="137"/>
      <c r="X2" s="140"/>
      <c r="Y2" s="140"/>
      <c r="Z2" s="137"/>
      <c r="AA2" s="140"/>
      <c r="AB2" s="140"/>
      <c r="AD2" s="137"/>
      <c r="AE2" s="140"/>
      <c r="AF2" s="140"/>
      <c r="AG2" s="137"/>
      <c r="AJ2" s="140"/>
      <c r="AK2" s="140"/>
      <c r="AL2" s="140"/>
      <c r="AM2" s="140"/>
      <c r="AO2" s="140"/>
      <c r="AP2" s="140"/>
    </row>
    <row r="3" spans="1:42" s="4" customFormat="1" ht="67.5" x14ac:dyDescent="0.25">
      <c r="A3" s="132" t="s">
        <v>134</v>
      </c>
      <c r="B3" s="132" t="s">
        <v>135</v>
      </c>
      <c r="C3" s="132" t="s">
        <v>136</v>
      </c>
      <c r="D3" s="132" t="s">
        <v>140</v>
      </c>
      <c r="E3" s="132" t="s">
        <v>147</v>
      </c>
      <c r="F3" s="132" t="s">
        <v>137</v>
      </c>
      <c r="G3" s="132" t="s">
        <v>141</v>
      </c>
      <c r="H3" s="132" t="s">
        <v>138</v>
      </c>
      <c r="I3" s="120" t="s">
        <v>18</v>
      </c>
      <c r="J3" s="120" t="s">
        <v>19</v>
      </c>
      <c r="K3" s="122" t="s">
        <v>46</v>
      </c>
      <c r="L3" s="132" t="s">
        <v>150</v>
      </c>
      <c r="M3" s="132" t="s">
        <v>142</v>
      </c>
      <c r="N3" s="132" t="s">
        <v>139</v>
      </c>
      <c r="O3" s="132" t="s">
        <v>143</v>
      </c>
      <c r="P3" s="123" t="s">
        <v>133</v>
      </c>
      <c r="Q3" s="133" t="s">
        <v>144</v>
      </c>
      <c r="R3" s="136" t="s">
        <v>87</v>
      </c>
      <c r="S3" s="134" t="s">
        <v>130</v>
      </c>
      <c r="T3" s="132" t="s">
        <v>145</v>
      </c>
      <c r="U3" s="132" t="s">
        <v>146</v>
      </c>
      <c r="V3" s="132" t="s">
        <v>2</v>
      </c>
      <c r="W3" s="120" t="s">
        <v>1</v>
      </c>
      <c r="X3" s="136" t="s">
        <v>3</v>
      </c>
      <c r="Y3" s="136" t="s">
        <v>85</v>
      </c>
      <c r="Z3" s="122" t="s">
        <v>118</v>
      </c>
      <c r="AA3" s="136" t="s">
        <v>119</v>
      </c>
      <c r="AB3" s="135" t="s">
        <v>120</v>
      </c>
      <c r="AC3" s="123" t="s">
        <v>4</v>
      </c>
      <c r="AD3" s="134" t="s">
        <v>131</v>
      </c>
      <c r="AE3" s="123" t="s">
        <v>86</v>
      </c>
      <c r="AF3" s="135" t="s">
        <v>5</v>
      </c>
      <c r="AG3" s="135" t="s">
        <v>132</v>
      </c>
      <c r="AH3" s="120" t="s">
        <v>6</v>
      </c>
      <c r="AI3" s="1"/>
      <c r="AJ3" s="135" t="s">
        <v>7</v>
      </c>
      <c r="AK3" s="135" t="s">
        <v>8</v>
      </c>
      <c r="AL3" s="121" t="s">
        <v>9</v>
      </c>
      <c r="AM3" s="135" t="s">
        <v>10</v>
      </c>
      <c r="AO3" s="135" t="s">
        <v>96</v>
      </c>
      <c r="AP3" s="135" t="s">
        <v>100</v>
      </c>
    </row>
    <row r="4" spans="1:42" x14ac:dyDescent="0.25">
      <c r="A4" s="42" t="s">
        <v>36</v>
      </c>
      <c r="B4" s="42"/>
      <c r="C4" s="42" t="s">
        <v>88</v>
      </c>
      <c r="D4" s="42"/>
      <c r="E4" s="42"/>
      <c r="F4" s="42"/>
      <c r="G4" s="42"/>
      <c r="H4" s="42"/>
      <c r="I4" s="43" t="s">
        <v>47</v>
      </c>
      <c r="J4" s="43">
        <v>99901</v>
      </c>
      <c r="K4" s="44">
        <v>1</v>
      </c>
      <c r="L4" s="43" t="s">
        <v>149</v>
      </c>
      <c r="M4" s="42"/>
      <c r="N4" s="43">
        <v>7</v>
      </c>
      <c r="O4" s="43"/>
      <c r="P4" s="45">
        <v>26.78</v>
      </c>
      <c r="Q4" s="46">
        <v>20</v>
      </c>
      <c r="R4" s="127">
        <f t="shared" ref="R4:R32" si="0">Q4*K4</f>
        <v>20</v>
      </c>
      <c r="S4" s="47">
        <f t="shared" ref="S4:S28" si="1">Q4/P4</f>
        <v>0.74682598954443613</v>
      </c>
      <c r="T4" s="42"/>
      <c r="U4" s="42"/>
      <c r="V4" s="43" t="s">
        <v>16</v>
      </c>
      <c r="W4" s="43" t="s">
        <v>12</v>
      </c>
      <c r="X4" s="48">
        <f>_xlfn.XLOOKUP(V4,Tables!$C$2:$C$6,Tables!$D$2:$D$6)*K4</f>
        <v>1.3</v>
      </c>
      <c r="Y4" s="48">
        <f t="shared" ref="Y4:Y32" si="2">R4+X4</f>
        <v>21.3</v>
      </c>
      <c r="Z4" s="51">
        <v>4.4999999999999998E-2</v>
      </c>
      <c r="AA4" s="48">
        <f t="shared" ref="AA4:AA32" si="3">(Z4*Q4)*K4</f>
        <v>0.89999999999999991</v>
      </c>
      <c r="AB4" s="49">
        <f t="shared" ref="AB4:AB32" si="4">R4+X4+AA4</f>
        <v>22.2</v>
      </c>
      <c r="AC4" s="45">
        <v>28.33</v>
      </c>
      <c r="AD4" s="47">
        <f t="shared" ref="AD4:AD32" si="5">(AB4/AC4)/K4</f>
        <v>0.7836216025414755</v>
      </c>
      <c r="AE4" s="45">
        <v>1.1200000000000001</v>
      </c>
      <c r="AF4" s="49">
        <f t="shared" ref="AF4:AF32" si="6">R4+X4+AA4+AE4</f>
        <v>23.32</v>
      </c>
      <c r="AG4" s="47">
        <f t="shared" ref="AG4:AG32" si="7">(AF4/AC4)/K4</f>
        <v>0.82315566537239682</v>
      </c>
      <c r="AH4" s="42">
        <v>0.22500999999999999</v>
      </c>
      <c r="AJ4" s="49">
        <f>AF4*2080</f>
        <v>48505.599999999999</v>
      </c>
      <c r="AK4" s="49">
        <f>AJ4*AH4</f>
        <v>10914.245056</v>
      </c>
      <c r="AL4" s="112">
        <f t="shared" ref="AL4:AL32" si="8">(14130*K4)</f>
        <v>14130</v>
      </c>
      <c r="AM4" s="49">
        <f>AJ4+AK4+AL4</f>
        <v>73549.845055999991</v>
      </c>
      <c r="AO4" s="49">
        <f t="shared" ref="AO4:AO32" si="9">(X4*2080)*(1+AH4)</f>
        <v>3312.42704</v>
      </c>
      <c r="AP4" s="49">
        <f>((AA4+AE4)*2080)*(1+AH4)</f>
        <v>5147.0020160000004</v>
      </c>
    </row>
    <row r="5" spans="1:42" x14ac:dyDescent="0.25">
      <c r="A5" s="42" t="s">
        <v>24</v>
      </c>
      <c r="B5" s="42"/>
      <c r="C5" s="42" t="s">
        <v>99</v>
      </c>
      <c r="D5" s="42"/>
      <c r="E5" s="42"/>
      <c r="F5" s="42"/>
      <c r="G5" s="42"/>
      <c r="H5" s="42"/>
      <c r="I5" s="43" t="s">
        <v>47</v>
      </c>
      <c r="J5" s="43">
        <v>99901</v>
      </c>
      <c r="K5" s="44">
        <v>1</v>
      </c>
      <c r="L5" s="43" t="s">
        <v>149</v>
      </c>
      <c r="M5" s="42"/>
      <c r="N5" s="43">
        <v>7</v>
      </c>
      <c r="O5" s="43"/>
      <c r="P5" s="45">
        <v>26.78</v>
      </c>
      <c r="Q5" s="46">
        <v>20</v>
      </c>
      <c r="R5" s="127">
        <f t="shared" si="0"/>
        <v>20</v>
      </c>
      <c r="S5" s="47">
        <f t="shared" si="1"/>
        <v>0.74682598954443613</v>
      </c>
      <c r="T5" s="42"/>
      <c r="U5" s="42"/>
      <c r="V5" s="43" t="s">
        <v>16</v>
      </c>
      <c r="W5" s="43" t="s">
        <v>12</v>
      </c>
      <c r="X5" s="48">
        <f>_xlfn.XLOOKUP(V5,Tables!$C$2:$C$6,Tables!$D$2:$D$6)*K5</f>
        <v>1.3</v>
      </c>
      <c r="Y5" s="48">
        <f t="shared" si="2"/>
        <v>21.3</v>
      </c>
      <c r="Z5" s="51">
        <v>0.08</v>
      </c>
      <c r="AA5" s="48">
        <f t="shared" si="3"/>
        <v>1.6</v>
      </c>
      <c r="AB5" s="49">
        <f t="shared" si="4"/>
        <v>22.900000000000002</v>
      </c>
      <c r="AC5" s="45">
        <v>28.33</v>
      </c>
      <c r="AD5" s="47">
        <f t="shared" si="5"/>
        <v>0.80833039181080135</v>
      </c>
      <c r="AE5" s="45"/>
      <c r="AF5" s="49">
        <f t="shared" si="6"/>
        <v>22.900000000000002</v>
      </c>
      <c r="AG5" s="47">
        <f t="shared" si="7"/>
        <v>0.80833039181080135</v>
      </c>
      <c r="AH5" s="42">
        <v>0.22500999999999999</v>
      </c>
      <c r="AJ5" s="49">
        <f t="shared" ref="AJ5:AJ32" si="10">AF5*2080</f>
        <v>47632.000000000007</v>
      </c>
      <c r="AK5" s="49">
        <f t="shared" ref="AK5:AK32" si="11">AJ5*AH5</f>
        <v>10717.67632</v>
      </c>
      <c r="AL5" s="112">
        <f t="shared" si="8"/>
        <v>14130</v>
      </c>
      <c r="AM5" s="49">
        <f t="shared" ref="AM5:AM32" si="12">AJ5+AK5+AL5</f>
        <v>72479.676319999999</v>
      </c>
      <c r="AO5" s="49">
        <f t="shared" si="9"/>
        <v>3312.42704</v>
      </c>
      <c r="AP5" s="49">
        <f t="shared" ref="AP5:AP32" si="13">((AA5+AE5)*2080)*(1+AH5)</f>
        <v>4076.8332799999998</v>
      </c>
    </row>
    <row r="6" spans="1:42" x14ac:dyDescent="0.25">
      <c r="A6" s="42" t="s">
        <v>22</v>
      </c>
      <c r="B6" s="42"/>
      <c r="C6" s="42" t="s">
        <v>84</v>
      </c>
      <c r="D6" s="42"/>
      <c r="E6" s="42"/>
      <c r="F6" s="42"/>
      <c r="G6" s="42"/>
      <c r="H6" s="42"/>
      <c r="I6" s="43" t="s">
        <v>47</v>
      </c>
      <c r="J6" s="43">
        <v>99901</v>
      </c>
      <c r="K6" s="44">
        <v>1</v>
      </c>
      <c r="L6" s="43" t="s">
        <v>149</v>
      </c>
      <c r="M6" s="42"/>
      <c r="N6" s="43">
        <v>7</v>
      </c>
      <c r="O6" s="43"/>
      <c r="P6" s="45">
        <v>26.78</v>
      </c>
      <c r="Q6" s="46">
        <v>20</v>
      </c>
      <c r="R6" s="127">
        <f t="shared" si="0"/>
        <v>20</v>
      </c>
      <c r="S6" s="47">
        <f t="shared" si="1"/>
        <v>0.74682598954443613</v>
      </c>
      <c r="T6" s="42"/>
      <c r="U6" s="42"/>
      <c r="V6" s="43" t="s">
        <v>16</v>
      </c>
      <c r="W6" s="43" t="s">
        <v>12</v>
      </c>
      <c r="X6" s="48">
        <f>_xlfn.XLOOKUP(V6,Tables!$C$2:$C$6,Tables!$D$2:$D$6)*K6</f>
        <v>1.3</v>
      </c>
      <c r="Y6" s="48">
        <f t="shared" si="2"/>
        <v>21.3</v>
      </c>
      <c r="Z6" s="51"/>
      <c r="AA6" s="48">
        <f t="shared" si="3"/>
        <v>0</v>
      </c>
      <c r="AB6" s="49">
        <f t="shared" si="4"/>
        <v>21.3</v>
      </c>
      <c r="AC6" s="45">
        <v>28.33</v>
      </c>
      <c r="AD6" s="47">
        <f t="shared" si="5"/>
        <v>0.75185315919519946</v>
      </c>
      <c r="AE6" s="45"/>
      <c r="AF6" s="49">
        <f t="shared" si="6"/>
        <v>21.3</v>
      </c>
      <c r="AG6" s="47">
        <f t="shared" si="7"/>
        <v>0.75185315919519946</v>
      </c>
      <c r="AH6" s="42">
        <v>0.22500999999999999</v>
      </c>
      <c r="AJ6" s="49">
        <f t="shared" si="10"/>
        <v>44304</v>
      </c>
      <c r="AK6" s="49">
        <f t="shared" si="11"/>
        <v>9968.8430399999997</v>
      </c>
      <c r="AL6" s="112">
        <f t="shared" si="8"/>
        <v>14130</v>
      </c>
      <c r="AM6" s="49">
        <f t="shared" si="12"/>
        <v>68402.843040000007</v>
      </c>
      <c r="AO6" s="49">
        <f t="shared" si="9"/>
        <v>3312.42704</v>
      </c>
      <c r="AP6" s="49">
        <f t="shared" si="13"/>
        <v>0</v>
      </c>
    </row>
    <row r="7" spans="1:42" x14ac:dyDescent="0.25">
      <c r="A7" s="42" t="s">
        <v>38</v>
      </c>
      <c r="B7" s="42"/>
      <c r="C7" s="42" t="s">
        <v>84</v>
      </c>
      <c r="D7" s="42"/>
      <c r="E7" s="42"/>
      <c r="F7" s="42"/>
      <c r="G7" s="42"/>
      <c r="H7" s="42"/>
      <c r="I7" s="43" t="s">
        <v>47</v>
      </c>
      <c r="J7" s="43">
        <v>99901</v>
      </c>
      <c r="K7" s="44">
        <v>1</v>
      </c>
      <c r="L7" s="43" t="s">
        <v>149</v>
      </c>
      <c r="M7" s="42"/>
      <c r="N7" s="43">
        <v>7</v>
      </c>
      <c r="O7" s="43"/>
      <c r="P7" s="45">
        <v>26.78</v>
      </c>
      <c r="Q7" s="46">
        <v>20</v>
      </c>
      <c r="R7" s="127">
        <f t="shared" si="0"/>
        <v>20</v>
      </c>
      <c r="S7" s="47">
        <f t="shared" si="1"/>
        <v>0.74682598954443613</v>
      </c>
      <c r="T7" s="42"/>
      <c r="U7" s="42"/>
      <c r="V7" s="43" t="s">
        <v>15</v>
      </c>
      <c r="W7" s="43" t="s">
        <v>12</v>
      </c>
      <c r="X7" s="48">
        <f>_xlfn.XLOOKUP(V7,Tables!$C$2:$C$6,Tables!$D$2:$D$6)*K7</f>
        <v>1.05</v>
      </c>
      <c r="Y7" s="48">
        <f t="shared" si="2"/>
        <v>21.05</v>
      </c>
      <c r="Z7" s="51"/>
      <c r="AA7" s="48">
        <f t="shared" si="3"/>
        <v>0</v>
      </c>
      <c r="AB7" s="49">
        <f t="shared" si="4"/>
        <v>21.05</v>
      </c>
      <c r="AC7" s="45">
        <v>28.33</v>
      </c>
      <c r="AD7" s="47">
        <f t="shared" si="5"/>
        <v>0.74302859159901169</v>
      </c>
      <c r="AE7" s="45"/>
      <c r="AF7" s="49">
        <f t="shared" si="6"/>
        <v>21.05</v>
      </c>
      <c r="AG7" s="47">
        <f t="shared" si="7"/>
        <v>0.74302859159901169</v>
      </c>
      <c r="AH7" s="42">
        <v>0.22500999999999999</v>
      </c>
      <c r="AJ7" s="49">
        <f t="shared" si="10"/>
        <v>43784</v>
      </c>
      <c r="AK7" s="49">
        <f t="shared" si="11"/>
        <v>9851.8378400000001</v>
      </c>
      <c r="AL7" s="112">
        <f t="shared" si="8"/>
        <v>14130</v>
      </c>
      <c r="AM7" s="49">
        <f t="shared" si="12"/>
        <v>67765.837839999993</v>
      </c>
      <c r="AO7" s="49">
        <f t="shared" si="9"/>
        <v>2675.42184</v>
      </c>
      <c r="AP7" s="49">
        <f t="shared" si="13"/>
        <v>0</v>
      </c>
    </row>
    <row r="8" spans="1:42" x14ac:dyDescent="0.25">
      <c r="A8" s="42" t="s">
        <v>44</v>
      </c>
      <c r="B8" s="42"/>
      <c r="C8" s="42" t="s">
        <v>84</v>
      </c>
      <c r="D8" s="42"/>
      <c r="E8" s="42"/>
      <c r="F8" s="42"/>
      <c r="G8" s="42"/>
      <c r="H8" s="42"/>
      <c r="I8" s="43" t="s">
        <v>47</v>
      </c>
      <c r="J8" s="43">
        <v>99901</v>
      </c>
      <c r="K8" s="44">
        <v>1</v>
      </c>
      <c r="L8" s="43" t="s">
        <v>149</v>
      </c>
      <c r="M8" s="42"/>
      <c r="N8" s="43">
        <v>7</v>
      </c>
      <c r="O8" s="43"/>
      <c r="P8" s="45">
        <v>26.78</v>
      </c>
      <c r="Q8" s="46">
        <v>20</v>
      </c>
      <c r="R8" s="127">
        <f t="shared" si="0"/>
        <v>20</v>
      </c>
      <c r="S8" s="47">
        <f t="shared" si="1"/>
        <v>0.74682598954443613</v>
      </c>
      <c r="T8" s="42"/>
      <c r="U8" s="42"/>
      <c r="V8" s="43" t="s">
        <v>16</v>
      </c>
      <c r="W8" s="43" t="s">
        <v>12</v>
      </c>
      <c r="X8" s="48">
        <f>_xlfn.XLOOKUP(V8,Tables!$C$2:$C$6,Tables!$D$2:$D$6)*K8</f>
        <v>1.3</v>
      </c>
      <c r="Y8" s="48">
        <f t="shared" si="2"/>
        <v>21.3</v>
      </c>
      <c r="Z8" s="51"/>
      <c r="AA8" s="48">
        <f t="shared" si="3"/>
        <v>0</v>
      </c>
      <c r="AB8" s="49">
        <f t="shared" si="4"/>
        <v>21.3</v>
      </c>
      <c r="AC8" s="45">
        <v>28.33</v>
      </c>
      <c r="AD8" s="47">
        <f t="shared" si="5"/>
        <v>0.75185315919519946</v>
      </c>
      <c r="AE8" s="45"/>
      <c r="AF8" s="49">
        <f t="shared" si="6"/>
        <v>21.3</v>
      </c>
      <c r="AG8" s="47">
        <f t="shared" si="7"/>
        <v>0.75185315919519946</v>
      </c>
      <c r="AH8" s="42">
        <v>0.22500999999999999</v>
      </c>
      <c r="AJ8" s="49">
        <f t="shared" si="10"/>
        <v>44304</v>
      </c>
      <c r="AK8" s="49">
        <f t="shared" si="11"/>
        <v>9968.8430399999997</v>
      </c>
      <c r="AL8" s="112">
        <f t="shared" si="8"/>
        <v>14130</v>
      </c>
      <c r="AM8" s="49">
        <f t="shared" si="12"/>
        <v>68402.843040000007</v>
      </c>
      <c r="AO8" s="49">
        <f t="shared" si="9"/>
        <v>3312.42704</v>
      </c>
      <c r="AP8" s="49">
        <f t="shared" si="13"/>
        <v>0</v>
      </c>
    </row>
    <row r="9" spans="1:42" x14ac:dyDescent="0.25">
      <c r="A9" s="42" t="s">
        <v>43</v>
      </c>
      <c r="B9" s="42"/>
      <c r="C9" s="42" t="s">
        <v>84</v>
      </c>
      <c r="D9" s="42"/>
      <c r="E9" s="42"/>
      <c r="F9" s="42"/>
      <c r="G9" s="42"/>
      <c r="H9" s="42"/>
      <c r="I9" s="43" t="s">
        <v>47</v>
      </c>
      <c r="J9" s="43">
        <v>99901</v>
      </c>
      <c r="K9" s="44">
        <v>1</v>
      </c>
      <c r="L9" s="43" t="s">
        <v>149</v>
      </c>
      <c r="M9" s="42"/>
      <c r="N9" s="43">
        <v>7</v>
      </c>
      <c r="O9" s="43"/>
      <c r="P9" s="45">
        <v>26.78</v>
      </c>
      <c r="Q9" s="46">
        <v>20</v>
      </c>
      <c r="R9" s="127">
        <f t="shared" si="0"/>
        <v>20</v>
      </c>
      <c r="S9" s="47">
        <f t="shared" si="1"/>
        <v>0.74682598954443613</v>
      </c>
      <c r="T9" s="42"/>
      <c r="U9" s="42"/>
      <c r="V9" s="43" t="s">
        <v>16</v>
      </c>
      <c r="W9" s="43" t="s">
        <v>12</v>
      </c>
      <c r="X9" s="48">
        <f>_xlfn.XLOOKUP(V9,Tables!$C$2:$C$6,Tables!$D$2:$D$6)*K9</f>
        <v>1.3</v>
      </c>
      <c r="Y9" s="48">
        <f t="shared" si="2"/>
        <v>21.3</v>
      </c>
      <c r="Z9" s="51"/>
      <c r="AA9" s="48">
        <f t="shared" si="3"/>
        <v>0</v>
      </c>
      <c r="AB9" s="49">
        <f t="shared" si="4"/>
        <v>21.3</v>
      </c>
      <c r="AC9" s="45">
        <v>28.33</v>
      </c>
      <c r="AD9" s="47">
        <f t="shared" si="5"/>
        <v>0.75185315919519946</v>
      </c>
      <c r="AE9" s="45"/>
      <c r="AF9" s="49">
        <f t="shared" si="6"/>
        <v>21.3</v>
      </c>
      <c r="AG9" s="47">
        <f t="shared" si="7"/>
        <v>0.75185315919519946</v>
      </c>
      <c r="AH9" s="42">
        <v>0.22500999999999999</v>
      </c>
      <c r="AJ9" s="49">
        <f t="shared" si="10"/>
        <v>44304</v>
      </c>
      <c r="AK9" s="49">
        <f t="shared" si="11"/>
        <v>9968.8430399999997</v>
      </c>
      <c r="AL9" s="112">
        <f t="shared" si="8"/>
        <v>14130</v>
      </c>
      <c r="AM9" s="49">
        <f t="shared" si="12"/>
        <v>68402.843040000007</v>
      </c>
      <c r="AO9" s="49">
        <f t="shared" si="9"/>
        <v>3312.42704</v>
      </c>
      <c r="AP9" s="49">
        <f t="shared" si="13"/>
        <v>0</v>
      </c>
    </row>
    <row r="10" spans="1:42" x14ac:dyDescent="0.25">
      <c r="A10" s="42" t="s">
        <v>28</v>
      </c>
      <c r="B10" s="42"/>
      <c r="C10" s="42" t="s">
        <v>84</v>
      </c>
      <c r="D10" s="42"/>
      <c r="E10" s="42"/>
      <c r="F10" s="42"/>
      <c r="G10" s="42"/>
      <c r="H10" s="42"/>
      <c r="I10" s="43" t="s">
        <v>47</v>
      </c>
      <c r="J10" s="43">
        <v>99901</v>
      </c>
      <c r="K10" s="44">
        <v>1</v>
      </c>
      <c r="L10" s="43" t="s">
        <v>149</v>
      </c>
      <c r="M10" s="42"/>
      <c r="N10" s="43">
        <v>7</v>
      </c>
      <c r="O10" s="43"/>
      <c r="P10" s="45">
        <v>26.78</v>
      </c>
      <c r="Q10" s="46">
        <v>20</v>
      </c>
      <c r="R10" s="127">
        <f t="shared" si="0"/>
        <v>20</v>
      </c>
      <c r="S10" s="47">
        <f t="shared" si="1"/>
        <v>0.74682598954443613</v>
      </c>
      <c r="T10" s="42"/>
      <c r="U10" s="42"/>
      <c r="V10" s="43" t="s">
        <v>16</v>
      </c>
      <c r="W10" s="43" t="s">
        <v>12</v>
      </c>
      <c r="X10" s="48">
        <f>_xlfn.XLOOKUP(V10,Tables!$C$2:$C$6,Tables!$D$2:$D$6)*K10</f>
        <v>1.3</v>
      </c>
      <c r="Y10" s="48">
        <f t="shared" si="2"/>
        <v>21.3</v>
      </c>
      <c r="Z10" s="51"/>
      <c r="AA10" s="48">
        <f t="shared" si="3"/>
        <v>0</v>
      </c>
      <c r="AB10" s="49">
        <f t="shared" si="4"/>
        <v>21.3</v>
      </c>
      <c r="AC10" s="45">
        <v>28.33</v>
      </c>
      <c r="AD10" s="47">
        <f t="shared" si="5"/>
        <v>0.75185315919519946</v>
      </c>
      <c r="AE10" s="45"/>
      <c r="AF10" s="49">
        <f t="shared" si="6"/>
        <v>21.3</v>
      </c>
      <c r="AG10" s="47">
        <f t="shared" si="7"/>
        <v>0.75185315919519946</v>
      </c>
      <c r="AH10" s="42">
        <v>0.22500999999999999</v>
      </c>
      <c r="AJ10" s="49">
        <f t="shared" si="10"/>
        <v>44304</v>
      </c>
      <c r="AK10" s="49">
        <f t="shared" si="11"/>
        <v>9968.8430399999997</v>
      </c>
      <c r="AL10" s="112">
        <f t="shared" si="8"/>
        <v>14130</v>
      </c>
      <c r="AM10" s="49">
        <f t="shared" si="12"/>
        <v>68402.843040000007</v>
      </c>
      <c r="AO10" s="49">
        <f t="shared" si="9"/>
        <v>3312.42704</v>
      </c>
      <c r="AP10" s="49">
        <f t="shared" si="13"/>
        <v>0</v>
      </c>
    </row>
    <row r="11" spans="1:42" x14ac:dyDescent="0.25">
      <c r="A11" s="42" t="s">
        <v>35</v>
      </c>
      <c r="B11" s="42"/>
      <c r="C11" s="42" t="s">
        <v>84</v>
      </c>
      <c r="D11" s="42"/>
      <c r="E11" s="42"/>
      <c r="F11" s="42"/>
      <c r="G11" s="42"/>
      <c r="H11" s="42"/>
      <c r="I11" s="43" t="s">
        <v>47</v>
      </c>
      <c r="J11" s="43">
        <v>99901</v>
      </c>
      <c r="K11" s="44">
        <v>1</v>
      </c>
      <c r="L11" s="43" t="s">
        <v>149</v>
      </c>
      <c r="M11" s="42"/>
      <c r="N11" s="43">
        <v>7</v>
      </c>
      <c r="O11" s="43"/>
      <c r="P11" s="45">
        <v>26.78</v>
      </c>
      <c r="Q11" s="46">
        <v>20</v>
      </c>
      <c r="R11" s="127">
        <f t="shared" si="0"/>
        <v>20</v>
      </c>
      <c r="S11" s="47">
        <f t="shared" si="1"/>
        <v>0.74682598954443613</v>
      </c>
      <c r="T11" s="42"/>
      <c r="U11" s="42"/>
      <c r="V11" s="43" t="s">
        <v>16</v>
      </c>
      <c r="W11" s="43" t="s">
        <v>12</v>
      </c>
      <c r="X11" s="48">
        <f>_xlfn.XLOOKUP(V11,Tables!$C$2:$C$6,Tables!$D$2:$D$6)*K11</f>
        <v>1.3</v>
      </c>
      <c r="Y11" s="48">
        <f t="shared" si="2"/>
        <v>21.3</v>
      </c>
      <c r="Z11" s="51"/>
      <c r="AA11" s="48">
        <f t="shared" si="3"/>
        <v>0</v>
      </c>
      <c r="AB11" s="49">
        <f t="shared" si="4"/>
        <v>21.3</v>
      </c>
      <c r="AC11" s="45">
        <v>28.33</v>
      </c>
      <c r="AD11" s="47">
        <f t="shared" si="5"/>
        <v>0.75185315919519946</v>
      </c>
      <c r="AE11" s="45"/>
      <c r="AF11" s="49">
        <f t="shared" si="6"/>
        <v>21.3</v>
      </c>
      <c r="AG11" s="47">
        <f t="shared" si="7"/>
        <v>0.75185315919519946</v>
      </c>
      <c r="AH11" s="42">
        <v>0.22500999999999999</v>
      </c>
      <c r="AJ11" s="49">
        <f t="shared" si="10"/>
        <v>44304</v>
      </c>
      <c r="AK11" s="49">
        <f t="shared" si="11"/>
        <v>9968.8430399999997</v>
      </c>
      <c r="AL11" s="112">
        <f t="shared" si="8"/>
        <v>14130</v>
      </c>
      <c r="AM11" s="49">
        <f t="shared" si="12"/>
        <v>68402.843040000007</v>
      </c>
      <c r="AO11" s="49">
        <f t="shared" si="9"/>
        <v>3312.42704</v>
      </c>
      <c r="AP11" s="49">
        <f t="shared" si="13"/>
        <v>0</v>
      </c>
    </row>
    <row r="12" spans="1:42" x14ac:dyDescent="0.25">
      <c r="A12" s="42" t="s">
        <v>27</v>
      </c>
      <c r="B12" s="42"/>
      <c r="C12" s="42" t="s">
        <v>84</v>
      </c>
      <c r="D12" s="42"/>
      <c r="E12" s="42"/>
      <c r="F12" s="42"/>
      <c r="G12" s="42"/>
      <c r="H12" s="42"/>
      <c r="I12" s="43" t="s">
        <v>47</v>
      </c>
      <c r="J12" s="43">
        <v>99901</v>
      </c>
      <c r="K12" s="44">
        <v>1</v>
      </c>
      <c r="L12" s="43" t="s">
        <v>149</v>
      </c>
      <c r="M12" s="42"/>
      <c r="N12" s="43">
        <v>7</v>
      </c>
      <c r="O12" s="43"/>
      <c r="P12" s="45">
        <v>26.78</v>
      </c>
      <c r="Q12" s="46">
        <v>20</v>
      </c>
      <c r="R12" s="127">
        <f t="shared" si="0"/>
        <v>20</v>
      </c>
      <c r="S12" s="47">
        <f t="shared" si="1"/>
        <v>0.74682598954443613</v>
      </c>
      <c r="T12" s="42"/>
      <c r="U12" s="42"/>
      <c r="V12" s="43" t="s">
        <v>16</v>
      </c>
      <c r="W12" s="43" t="s">
        <v>12</v>
      </c>
      <c r="X12" s="48">
        <f>_xlfn.XLOOKUP(V12,Tables!$C$2:$C$6,Tables!$D$2:$D$6)*K12</f>
        <v>1.3</v>
      </c>
      <c r="Y12" s="48">
        <f t="shared" si="2"/>
        <v>21.3</v>
      </c>
      <c r="Z12" s="51"/>
      <c r="AA12" s="48">
        <f t="shared" si="3"/>
        <v>0</v>
      </c>
      <c r="AB12" s="49">
        <f t="shared" si="4"/>
        <v>21.3</v>
      </c>
      <c r="AC12" s="45">
        <v>28.33</v>
      </c>
      <c r="AD12" s="47">
        <f t="shared" si="5"/>
        <v>0.75185315919519946</v>
      </c>
      <c r="AE12" s="45"/>
      <c r="AF12" s="49">
        <f t="shared" si="6"/>
        <v>21.3</v>
      </c>
      <c r="AG12" s="47">
        <f t="shared" si="7"/>
        <v>0.75185315919519946</v>
      </c>
      <c r="AH12" s="42">
        <v>0.22500999999999999</v>
      </c>
      <c r="AJ12" s="49">
        <f t="shared" si="10"/>
        <v>44304</v>
      </c>
      <c r="AK12" s="49">
        <f t="shared" si="11"/>
        <v>9968.8430399999997</v>
      </c>
      <c r="AL12" s="112">
        <f t="shared" si="8"/>
        <v>14130</v>
      </c>
      <c r="AM12" s="49">
        <f t="shared" si="12"/>
        <v>68402.843040000007</v>
      </c>
      <c r="AO12" s="49">
        <f t="shared" si="9"/>
        <v>3312.42704</v>
      </c>
      <c r="AP12" s="49">
        <f t="shared" si="13"/>
        <v>0</v>
      </c>
    </row>
    <row r="13" spans="1:42" x14ac:dyDescent="0.25">
      <c r="A13" s="42" t="s">
        <v>34</v>
      </c>
      <c r="B13" s="42"/>
      <c r="C13" s="42" t="s">
        <v>84</v>
      </c>
      <c r="D13" s="42"/>
      <c r="E13" s="42"/>
      <c r="F13" s="42"/>
      <c r="G13" s="42"/>
      <c r="H13" s="42"/>
      <c r="I13" s="43" t="s">
        <v>47</v>
      </c>
      <c r="J13" s="43">
        <v>99901</v>
      </c>
      <c r="K13" s="44">
        <v>1</v>
      </c>
      <c r="L13" s="43" t="s">
        <v>149</v>
      </c>
      <c r="M13" s="42"/>
      <c r="N13" s="43">
        <v>7</v>
      </c>
      <c r="O13" s="43"/>
      <c r="P13" s="45">
        <v>26.78</v>
      </c>
      <c r="Q13" s="46">
        <v>20</v>
      </c>
      <c r="R13" s="127">
        <f t="shared" si="0"/>
        <v>20</v>
      </c>
      <c r="S13" s="47">
        <f t="shared" si="1"/>
        <v>0.74682598954443613</v>
      </c>
      <c r="T13" s="42"/>
      <c r="U13" s="42"/>
      <c r="V13" s="43" t="s">
        <v>16</v>
      </c>
      <c r="W13" s="43" t="s">
        <v>12</v>
      </c>
      <c r="X13" s="48">
        <f>_xlfn.XLOOKUP(V13,Tables!$C$2:$C$6,Tables!$D$2:$D$6)*K13</f>
        <v>1.3</v>
      </c>
      <c r="Y13" s="48">
        <f t="shared" si="2"/>
        <v>21.3</v>
      </c>
      <c r="Z13" s="51"/>
      <c r="AA13" s="48">
        <f t="shared" si="3"/>
        <v>0</v>
      </c>
      <c r="AB13" s="49">
        <f t="shared" si="4"/>
        <v>21.3</v>
      </c>
      <c r="AC13" s="45">
        <v>28.33</v>
      </c>
      <c r="AD13" s="47">
        <f t="shared" si="5"/>
        <v>0.75185315919519946</v>
      </c>
      <c r="AE13" s="45"/>
      <c r="AF13" s="49">
        <f t="shared" si="6"/>
        <v>21.3</v>
      </c>
      <c r="AG13" s="47">
        <f t="shared" si="7"/>
        <v>0.75185315919519946</v>
      </c>
      <c r="AH13" s="42">
        <v>0.22500999999999999</v>
      </c>
      <c r="AJ13" s="49">
        <f t="shared" si="10"/>
        <v>44304</v>
      </c>
      <c r="AK13" s="49">
        <f t="shared" si="11"/>
        <v>9968.8430399999997</v>
      </c>
      <c r="AL13" s="112">
        <f t="shared" si="8"/>
        <v>14130</v>
      </c>
      <c r="AM13" s="49">
        <f t="shared" si="12"/>
        <v>68402.843040000007</v>
      </c>
      <c r="AO13" s="49">
        <f t="shared" si="9"/>
        <v>3312.42704</v>
      </c>
      <c r="AP13" s="49">
        <f t="shared" si="13"/>
        <v>0</v>
      </c>
    </row>
    <row r="14" spans="1:42" x14ac:dyDescent="0.25">
      <c r="A14" s="42" t="s">
        <v>21</v>
      </c>
      <c r="B14" s="42"/>
      <c r="C14" s="42" t="s">
        <v>84</v>
      </c>
      <c r="D14" s="42"/>
      <c r="E14" s="42"/>
      <c r="F14" s="42"/>
      <c r="G14" s="42"/>
      <c r="H14" s="42"/>
      <c r="I14" s="43" t="s">
        <v>47</v>
      </c>
      <c r="J14" s="43">
        <v>99901</v>
      </c>
      <c r="K14" s="44">
        <v>1</v>
      </c>
      <c r="L14" s="43" t="s">
        <v>149</v>
      </c>
      <c r="M14" s="42"/>
      <c r="N14" s="43">
        <v>7</v>
      </c>
      <c r="O14" s="43"/>
      <c r="P14" s="45">
        <v>26.78</v>
      </c>
      <c r="Q14" s="46">
        <v>20</v>
      </c>
      <c r="R14" s="127">
        <f t="shared" si="0"/>
        <v>20</v>
      </c>
      <c r="S14" s="47">
        <f t="shared" si="1"/>
        <v>0.74682598954443613</v>
      </c>
      <c r="T14" s="42"/>
      <c r="U14" s="42"/>
      <c r="V14" s="43" t="s">
        <v>16</v>
      </c>
      <c r="W14" s="43" t="s">
        <v>12</v>
      </c>
      <c r="X14" s="48">
        <f>_xlfn.XLOOKUP(V14,Tables!$C$2:$C$6,Tables!$D$2:$D$6)*K14</f>
        <v>1.3</v>
      </c>
      <c r="Y14" s="48">
        <f t="shared" si="2"/>
        <v>21.3</v>
      </c>
      <c r="Z14" s="51"/>
      <c r="AA14" s="48">
        <f t="shared" si="3"/>
        <v>0</v>
      </c>
      <c r="AB14" s="49">
        <f t="shared" si="4"/>
        <v>21.3</v>
      </c>
      <c r="AC14" s="45">
        <v>28.33</v>
      </c>
      <c r="AD14" s="47">
        <f t="shared" si="5"/>
        <v>0.75185315919519946</v>
      </c>
      <c r="AE14" s="45"/>
      <c r="AF14" s="49">
        <f t="shared" si="6"/>
        <v>21.3</v>
      </c>
      <c r="AG14" s="47">
        <f t="shared" si="7"/>
        <v>0.75185315919519946</v>
      </c>
      <c r="AH14" s="42">
        <v>0.22500999999999999</v>
      </c>
      <c r="AJ14" s="49">
        <f t="shared" si="10"/>
        <v>44304</v>
      </c>
      <c r="AK14" s="49">
        <f t="shared" si="11"/>
        <v>9968.8430399999997</v>
      </c>
      <c r="AL14" s="112">
        <f t="shared" si="8"/>
        <v>14130</v>
      </c>
      <c r="AM14" s="49">
        <f t="shared" si="12"/>
        <v>68402.843040000007</v>
      </c>
      <c r="AO14" s="49">
        <f t="shared" si="9"/>
        <v>3312.42704</v>
      </c>
      <c r="AP14" s="49">
        <f t="shared" si="13"/>
        <v>0</v>
      </c>
    </row>
    <row r="15" spans="1:42" x14ac:dyDescent="0.25">
      <c r="A15" s="42" t="s">
        <v>31</v>
      </c>
      <c r="B15" s="42"/>
      <c r="C15" s="42" t="s">
        <v>84</v>
      </c>
      <c r="D15" s="42"/>
      <c r="E15" s="42"/>
      <c r="F15" s="42"/>
      <c r="G15" s="42"/>
      <c r="H15" s="42"/>
      <c r="I15" s="43" t="s">
        <v>48</v>
      </c>
      <c r="J15" s="43">
        <v>99902</v>
      </c>
      <c r="K15" s="44">
        <v>1</v>
      </c>
      <c r="L15" s="43" t="s">
        <v>149</v>
      </c>
      <c r="M15" s="42"/>
      <c r="N15" s="43">
        <v>7</v>
      </c>
      <c r="O15" s="43"/>
      <c r="P15" s="45">
        <v>26.78</v>
      </c>
      <c r="Q15" s="46">
        <v>20</v>
      </c>
      <c r="R15" s="127">
        <f t="shared" si="0"/>
        <v>20</v>
      </c>
      <c r="S15" s="47">
        <f t="shared" si="1"/>
        <v>0.74682598954443613</v>
      </c>
      <c r="T15" s="42"/>
      <c r="U15" s="42"/>
      <c r="V15" s="43" t="s">
        <v>16</v>
      </c>
      <c r="W15" s="43" t="s">
        <v>12</v>
      </c>
      <c r="X15" s="48">
        <f>_xlfn.XLOOKUP(V15,Tables!$C$2:$C$6,Tables!$D$2:$D$6)*K15</f>
        <v>1.3</v>
      </c>
      <c r="Y15" s="48">
        <f t="shared" si="2"/>
        <v>21.3</v>
      </c>
      <c r="Z15" s="51"/>
      <c r="AA15" s="48">
        <f t="shared" si="3"/>
        <v>0</v>
      </c>
      <c r="AB15" s="49">
        <f t="shared" si="4"/>
        <v>21.3</v>
      </c>
      <c r="AC15" s="45">
        <v>28.33</v>
      </c>
      <c r="AD15" s="47">
        <f t="shared" si="5"/>
        <v>0.75185315919519946</v>
      </c>
      <c r="AE15" s="45"/>
      <c r="AF15" s="49">
        <f t="shared" si="6"/>
        <v>21.3</v>
      </c>
      <c r="AG15" s="47">
        <f t="shared" si="7"/>
        <v>0.75185315919519946</v>
      </c>
      <c r="AH15" s="42">
        <v>0.22500999999999999</v>
      </c>
      <c r="AJ15" s="49">
        <f t="shared" si="10"/>
        <v>44304</v>
      </c>
      <c r="AK15" s="49">
        <f t="shared" si="11"/>
        <v>9968.8430399999997</v>
      </c>
      <c r="AL15" s="112">
        <f t="shared" si="8"/>
        <v>14130</v>
      </c>
      <c r="AM15" s="49">
        <f t="shared" si="12"/>
        <v>68402.843040000007</v>
      </c>
      <c r="AO15" s="49">
        <f t="shared" si="9"/>
        <v>3312.42704</v>
      </c>
      <c r="AP15" s="49">
        <f t="shared" si="13"/>
        <v>0</v>
      </c>
    </row>
    <row r="16" spans="1:42" x14ac:dyDescent="0.25">
      <c r="A16" s="42" t="s">
        <v>33</v>
      </c>
      <c r="B16" s="42"/>
      <c r="C16" s="42" t="s">
        <v>84</v>
      </c>
      <c r="D16" s="42"/>
      <c r="E16" s="42"/>
      <c r="F16" s="42"/>
      <c r="G16" s="42"/>
      <c r="H16" s="42"/>
      <c r="I16" s="43" t="s">
        <v>48</v>
      </c>
      <c r="J16" s="43">
        <v>99902</v>
      </c>
      <c r="K16" s="44">
        <v>1</v>
      </c>
      <c r="L16" s="43" t="s">
        <v>149</v>
      </c>
      <c r="M16" s="42"/>
      <c r="N16" s="43">
        <v>7</v>
      </c>
      <c r="O16" s="43"/>
      <c r="P16" s="45">
        <v>26.78</v>
      </c>
      <c r="Q16" s="46">
        <v>20</v>
      </c>
      <c r="R16" s="127">
        <f t="shared" si="0"/>
        <v>20</v>
      </c>
      <c r="S16" s="47">
        <f t="shared" si="1"/>
        <v>0.74682598954443613</v>
      </c>
      <c r="T16" s="42"/>
      <c r="U16" s="42"/>
      <c r="V16" s="43" t="s">
        <v>16</v>
      </c>
      <c r="W16" s="43" t="s">
        <v>12</v>
      </c>
      <c r="X16" s="48">
        <f>_xlfn.XLOOKUP(V16,Tables!$C$2:$C$6,Tables!$D$2:$D$6)*K16</f>
        <v>1.3</v>
      </c>
      <c r="Y16" s="48">
        <f t="shared" si="2"/>
        <v>21.3</v>
      </c>
      <c r="Z16" s="51"/>
      <c r="AA16" s="48">
        <f t="shared" si="3"/>
        <v>0</v>
      </c>
      <c r="AB16" s="49">
        <f t="shared" si="4"/>
        <v>21.3</v>
      </c>
      <c r="AC16" s="45">
        <v>28.33</v>
      </c>
      <c r="AD16" s="47">
        <f t="shared" si="5"/>
        <v>0.75185315919519946</v>
      </c>
      <c r="AE16" s="45"/>
      <c r="AF16" s="49">
        <f t="shared" si="6"/>
        <v>21.3</v>
      </c>
      <c r="AG16" s="47">
        <f t="shared" si="7"/>
        <v>0.75185315919519946</v>
      </c>
      <c r="AH16" s="42">
        <v>0.22500999999999999</v>
      </c>
      <c r="AJ16" s="49">
        <f t="shared" si="10"/>
        <v>44304</v>
      </c>
      <c r="AK16" s="49">
        <f t="shared" si="11"/>
        <v>9968.8430399999997</v>
      </c>
      <c r="AL16" s="112">
        <f t="shared" si="8"/>
        <v>14130</v>
      </c>
      <c r="AM16" s="49">
        <f t="shared" si="12"/>
        <v>68402.843040000007</v>
      </c>
      <c r="AO16" s="49">
        <f t="shared" si="9"/>
        <v>3312.42704</v>
      </c>
      <c r="AP16" s="49">
        <f t="shared" si="13"/>
        <v>0</v>
      </c>
    </row>
    <row r="17" spans="1:42" x14ac:dyDescent="0.25">
      <c r="A17" s="42" t="s">
        <v>29</v>
      </c>
      <c r="B17" s="42"/>
      <c r="C17" s="42" t="s">
        <v>84</v>
      </c>
      <c r="D17" s="42"/>
      <c r="E17" s="42"/>
      <c r="F17" s="42"/>
      <c r="G17" s="42"/>
      <c r="H17" s="42"/>
      <c r="I17" s="43" t="s">
        <v>48</v>
      </c>
      <c r="J17" s="43">
        <v>99902</v>
      </c>
      <c r="K17" s="44">
        <v>1</v>
      </c>
      <c r="L17" s="43" t="s">
        <v>149</v>
      </c>
      <c r="M17" s="42"/>
      <c r="N17" s="43">
        <v>7</v>
      </c>
      <c r="O17" s="43"/>
      <c r="P17" s="45">
        <v>26.78</v>
      </c>
      <c r="Q17" s="46">
        <v>20</v>
      </c>
      <c r="R17" s="127">
        <f t="shared" si="0"/>
        <v>20</v>
      </c>
      <c r="S17" s="47">
        <f t="shared" si="1"/>
        <v>0.74682598954443613</v>
      </c>
      <c r="T17" s="42"/>
      <c r="U17" s="42"/>
      <c r="V17" s="43" t="s">
        <v>16</v>
      </c>
      <c r="W17" s="43" t="s">
        <v>12</v>
      </c>
      <c r="X17" s="48">
        <f>_xlfn.XLOOKUP(V17,Tables!$C$2:$C$6,Tables!$D$2:$D$6)*K17</f>
        <v>1.3</v>
      </c>
      <c r="Y17" s="48">
        <f t="shared" si="2"/>
        <v>21.3</v>
      </c>
      <c r="Z17" s="51"/>
      <c r="AA17" s="48">
        <f t="shared" si="3"/>
        <v>0</v>
      </c>
      <c r="AB17" s="49">
        <f t="shared" si="4"/>
        <v>21.3</v>
      </c>
      <c r="AC17" s="45">
        <v>28.33</v>
      </c>
      <c r="AD17" s="47">
        <f t="shared" si="5"/>
        <v>0.75185315919519946</v>
      </c>
      <c r="AE17" s="45"/>
      <c r="AF17" s="49">
        <f t="shared" si="6"/>
        <v>21.3</v>
      </c>
      <c r="AG17" s="47">
        <f t="shared" si="7"/>
        <v>0.75185315919519946</v>
      </c>
      <c r="AH17" s="42">
        <v>0.22500999999999999</v>
      </c>
      <c r="AJ17" s="49">
        <f t="shared" si="10"/>
        <v>44304</v>
      </c>
      <c r="AK17" s="49">
        <f t="shared" si="11"/>
        <v>9968.8430399999997</v>
      </c>
      <c r="AL17" s="112">
        <f t="shared" si="8"/>
        <v>14130</v>
      </c>
      <c r="AM17" s="49">
        <f t="shared" si="12"/>
        <v>68402.843040000007</v>
      </c>
      <c r="AO17" s="49">
        <f t="shared" si="9"/>
        <v>3312.42704</v>
      </c>
      <c r="AP17" s="49">
        <f t="shared" si="13"/>
        <v>0</v>
      </c>
    </row>
    <row r="18" spans="1:42" x14ac:dyDescent="0.25">
      <c r="A18" s="42" t="s">
        <v>39</v>
      </c>
      <c r="B18" s="42"/>
      <c r="C18" s="42" t="s">
        <v>84</v>
      </c>
      <c r="D18" s="42"/>
      <c r="E18" s="42"/>
      <c r="F18" s="42"/>
      <c r="G18" s="42"/>
      <c r="H18" s="42"/>
      <c r="I18" s="43" t="s">
        <v>48</v>
      </c>
      <c r="J18" s="43">
        <v>99902</v>
      </c>
      <c r="K18" s="44">
        <v>1</v>
      </c>
      <c r="L18" s="43" t="s">
        <v>149</v>
      </c>
      <c r="M18" s="42"/>
      <c r="N18" s="43">
        <v>7</v>
      </c>
      <c r="O18" s="43"/>
      <c r="P18" s="45">
        <v>26.78</v>
      </c>
      <c r="Q18" s="46">
        <v>20</v>
      </c>
      <c r="R18" s="127">
        <f t="shared" si="0"/>
        <v>20</v>
      </c>
      <c r="S18" s="47">
        <f t="shared" si="1"/>
        <v>0.74682598954443613</v>
      </c>
      <c r="T18" s="42"/>
      <c r="U18" s="42"/>
      <c r="V18" s="43" t="s">
        <v>16</v>
      </c>
      <c r="W18" s="43" t="s">
        <v>12</v>
      </c>
      <c r="X18" s="48">
        <f>_xlfn.XLOOKUP(V18,Tables!$C$2:$C$6,Tables!$D$2:$D$6)*K18</f>
        <v>1.3</v>
      </c>
      <c r="Y18" s="48">
        <f t="shared" si="2"/>
        <v>21.3</v>
      </c>
      <c r="Z18" s="51"/>
      <c r="AA18" s="48">
        <f t="shared" si="3"/>
        <v>0</v>
      </c>
      <c r="AB18" s="49">
        <f t="shared" si="4"/>
        <v>21.3</v>
      </c>
      <c r="AC18" s="45">
        <v>28.33</v>
      </c>
      <c r="AD18" s="47">
        <f t="shared" si="5"/>
        <v>0.75185315919519946</v>
      </c>
      <c r="AE18" s="45"/>
      <c r="AF18" s="49">
        <f t="shared" si="6"/>
        <v>21.3</v>
      </c>
      <c r="AG18" s="47">
        <f t="shared" si="7"/>
        <v>0.75185315919519946</v>
      </c>
      <c r="AH18" s="42">
        <v>0.22500999999999999</v>
      </c>
      <c r="AJ18" s="49">
        <f t="shared" si="10"/>
        <v>44304</v>
      </c>
      <c r="AK18" s="49">
        <f t="shared" si="11"/>
        <v>9968.8430399999997</v>
      </c>
      <c r="AL18" s="112">
        <f t="shared" si="8"/>
        <v>14130</v>
      </c>
      <c r="AM18" s="49">
        <f t="shared" si="12"/>
        <v>68402.843040000007</v>
      </c>
      <c r="AO18" s="49">
        <f t="shared" si="9"/>
        <v>3312.42704</v>
      </c>
      <c r="AP18" s="49">
        <f t="shared" si="13"/>
        <v>0</v>
      </c>
    </row>
    <row r="19" spans="1:42" x14ac:dyDescent="0.25">
      <c r="A19" s="42" t="s">
        <v>37</v>
      </c>
      <c r="B19" s="42"/>
      <c r="C19" s="42" t="s">
        <v>84</v>
      </c>
      <c r="D19" s="42"/>
      <c r="E19" s="42"/>
      <c r="F19" s="42"/>
      <c r="G19" s="42"/>
      <c r="H19" s="42"/>
      <c r="I19" s="43" t="s">
        <v>48</v>
      </c>
      <c r="J19" s="43">
        <v>99902</v>
      </c>
      <c r="K19" s="44">
        <v>1</v>
      </c>
      <c r="L19" s="43" t="s">
        <v>149</v>
      </c>
      <c r="M19" s="42"/>
      <c r="N19" s="43">
        <v>7</v>
      </c>
      <c r="O19" s="43"/>
      <c r="P19" s="45">
        <v>26.78</v>
      </c>
      <c r="Q19" s="46">
        <v>20</v>
      </c>
      <c r="R19" s="127">
        <f t="shared" si="0"/>
        <v>20</v>
      </c>
      <c r="S19" s="47">
        <f t="shared" si="1"/>
        <v>0.74682598954443613</v>
      </c>
      <c r="T19" s="42"/>
      <c r="U19" s="42"/>
      <c r="V19" s="43" t="s">
        <v>16</v>
      </c>
      <c r="W19" s="43" t="s">
        <v>12</v>
      </c>
      <c r="X19" s="48">
        <f>_xlfn.XLOOKUP(V19,Tables!$C$2:$C$6,Tables!$D$2:$D$6)*K19</f>
        <v>1.3</v>
      </c>
      <c r="Y19" s="48">
        <f t="shared" si="2"/>
        <v>21.3</v>
      </c>
      <c r="Z19" s="51"/>
      <c r="AA19" s="48">
        <f t="shared" si="3"/>
        <v>0</v>
      </c>
      <c r="AB19" s="49">
        <f t="shared" si="4"/>
        <v>21.3</v>
      </c>
      <c r="AC19" s="45">
        <v>28.33</v>
      </c>
      <c r="AD19" s="47">
        <f t="shared" si="5"/>
        <v>0.75185315919519946</v>
      </c>
      <c r="AE19" s="45"/>
      <c r="AF19" s="49">
        <f t="shared" si="6"/>
        <v>21.3</v>
      </c>
      <c r="AG19" s="47">
        <f t="shared" si="7"/>
        <v>0.75185315919519946</v>
      </c>
      <c r="AH19" s="42">
        <v>0.22500999999999999</v>
      </c>
      <c r="AJ19" s="49">
        <f t="shared" si="10"/>
        <v>44304</v>
      </c>
      <c r="AK19" s="49">
        <f t="shared" si="11"/>
        <v>9968.8430399999997</v>
      </c>
      <c r="AL19" s="112">
        <f t="shared" si="8"/>
        <v>14130</v>
      </c>
      <c r="AM19" s="49">
        <f t="shared" si="12"/>
        <v>68402.843040000007</v>
      </c>
      <c r="AO19" s="49">
        <f t="shared" si="9"/>
        <v>3312.42704</v>
      </c>
      <c r="AP19" s="49">
        <f t="shared" si="13"/>
        <v>0</v>
      </c>
    </row>
    <row r="20" spans="1:42" x14ac:dyDescent="0.25">
      <c r="A20" s="42" t="s">
        <v>40</v>
      </c>
      <c r="B20" s="42"/>
      <c r="C20" s="42" t="s">
        <v>84</v>
      </c>
      <c r="D20" s="42"/>
      <c r="E20" s="42"/>
      <c r="F20" s="42"/>
      <c r="G20" s="42"/>
      <c r="H20" s="42"/>
      <c r="I20" s="43" t="s">
        <v>48</v>
      </c>
      <c r="J20" s="43">
        <v>99902</v>
      </c>
      <c r="K20" s="44">
        <v>1</v>
      </c>
      <c r="L20" s="43" t="s">
        <v>149</v>
      </c>
      <c r="M20" s="42"/>
      <c r="N20" s="43">
        <v>7</v>
      </c>
      <c r="O20" s="43"/>
      <c r="P20" s="45">
        <v>26.78</v>
      </c>
      <c r="Q20" s="46">
        <v>20</v>
      </c>
      <c r="R20" s="127">
        <f t="shared" si="0"/>
        <v>20</v>
      </c>
      <c r="S20" s="47">
        <f t="shared" si="1"/>
        <v>0.74682598954443613</v>
      </c>
      <c r="T20" s="42"/>
      <c r="U20" s="42"/>
      <c r="V20" s="43" t="s">
        <v>50</v>
      </c>
      <c r="W20" s="43" t="s">
        <v>14</v>
      </c>
      <c r="X20" s="48">
        <f>_xlfn.XLOOKUP(V20,Tables!$C$2:$C$6,Tables!$D$2:$D$6)*K20</f>
        <v>0</v>
      </c>
      <c r="Y20" s="48">
        <f t="shared" si="2"/>
        <v>20</v>
      </c>
      <c r="Z20" s="51"/>
      <c r="AA20" s="48">
        <f t="shared" si="3"/>
        <v>0</v>
      </c>
      <c r="AB20" s="49">
        <f t="shared" si="4"/>
        <v>20</v>
      </c>
      <c r="AC20" s="45">
        <v>28.33</v>
      </c>
      <c r="AD20" s="47">
        <f t="shared" si="5"/>
        <v>0.70596540769502303</v>
      </c>
      <c r="AE20" s="45"/>
      <c r="AF20" s="49">
        <f t="shared" si="6"/>
        <v>20</v>
      </c>
      <c r="AG20" s="47">
        <f t="shared" si="7"/>
        <v>0.70596540769502303</v>
      </c>
      <c r="AH20" s="42">
        <v>0.22500999999999999</v>
      </c>
      <c r="AJ20" s="49">
        <f t="shared" si="10"/>
        <v>41600</v>
      </c>
      <c r="AK20" s="49">
        <f t="shared" si="11"/>
        <v>9360.4159999999993</v>
      </c>
      <c r="AL20" s="112">
        <f t="shared" si="8"/>
        <v>14130</v>
      </c>
      <c r="AM20" s="49">
        <f t="shared" si="12"/>
        <v>65090.415999999997</v>
      </c>
      <c r="AO20" s="49">
        <f t="shared" si="9"/>
        <v>0</v>
      </c>
      <c r="AP20" s="49">
        <f t="shared" si="13"/>
        <v>0</v>
      </c>
    </row>
    <row r="21" spans="1:42" x14ac:dyDescent="0.25">
      <c r="A21" s="42" t="s">
        <v>41</v>
      </c>
      <c r="B21" s="42"/>
      <c r="C21" s="42" t="s">
        <v>84</v>
      </c>
      <c r="D21" s="42"/>
      <c r="E21" s="42"/>
      <c r="F21" s="42"/>
      <c r="G21" s="42"/>
      <c r="H21" s="42"/>
      <c r="I21" s="43" t="s">
        <v>48</v>
      </c>
      <c r="J21" s="43">
        <v>99902</v>
      </c>
      <c r="K21" s="44">
        <v>1</v>
      </c>
      <c r="L21" s="43" t="s">
        <v>149</v>
      </c>
      <c r="M21" s="42"/>
      <c r="N21" s="43">
        <v>7</v>
      </c>
      <c r="O21" s="43"/>
      <c r="P21" s="45">
        <v>26.78</v>
      </c>
      <c r="Q21" s="46">
        <v>20</v>
      </c>
      <c r="R21" s="127">
        <f t="shared" si="0"/>
        <v>20</v>
      </c>
      <c r="S21" s="47">
        <f t="shared" si="1"/>
        <v>0.74682598954443613</v>
      </c>
      <c r="T21" s="42"/>
      <c r="U21" s="42"/>
      <c r="V21" s="43" t="s">
        <v>16</v>
      </c>
      <c r="W21" s="43" t="s">
        <v>12</v>
      </c>
      <c r="X21" s="48">
        <f>_xlfn.XLOOKUP(V21,Tables!$C$2:$C$6,Tables!$D$2:$D$6)*K21</f>
        <v>1.3</v>
      </c>
      <c r="Y21" s="48">
        <f t="shared" si="2"/>
        <v>21.3</v>
      </c>
      <c r="Z21" s="51"/>
      <c r="AA21" s="48">
        <f t="shared" si="3"/>
        <v>0</v>
      </c>
      <c r="AB21" s="49">
        <f t="shared" si="4"/>
        <v>21.3</v>
      </c>
      <c r="AC21" s="45">
        <v>28.33</v>
      </c>
      <c r="AD21" s="47">
        <f t="shared" si="5"/>
        <v>0.75185315919519946</v>
      </c>
      <c r="AE21" s="45"/>
      <c r="AF21" s="49">
        <f t="shared" si="6"/>
        <v>21.3</v>
      </c>
      <c r="AG21" s="47">
        <f t="shared" si="7"/>
        <v>0.75185315919519946</v>
      </c>
      <c r="AH21" s="42">
        <v>0.22500999999999999</v>
      </c>
      <c r="AJ21" s="49">
        <f t="shared" si="10"/>
        <v>44304</v>
      </c>
      <c r="AK21" s="49">
        <f t="shared" si="11"/>
        <v>9968.8430399999997</v>
      </c>
      <c r="AL21" s="112">
        <f t="shared" si="8"/>
        <v>14130</v>
      </c>
      <c r="AM21" s="49">
        <f t="shared" si="12"/>
        <v>68402.843040000007</v>
      </c>
      <c r="AO21" s="49">
        <f t="shared" si="9"/>
        <v>3312.42704</v>
      </c>
      <c r="AP21" s="49">
        <f t="shared" si="13"/>
        <v>0</v>
      </c>
    </row>
    <row r="22" spans="1:42" x14ac:dyDescent="0.25">
      <c r="A22" s="42" t="s">
        <v>30</v>
      </c>
      <c r="B22" s="42"/>
      <c r="C22" s="42" t="s">
        <v>84</v>
      </c>
      <c r="D22" s="42"/>
      <c r="E22" s="42"/>
      <c r="F22" s="42"/>
      <c r="G22" s="42"/>
      <c r="H22" s="42"/>
      <c r="I22" s="43" t="s">
        <v>48</v>
      </c>
      <c r="J22" s="43">
        <v>99902</v>
      </c>
      <c r="K22" s="44">
        <v>1</v>
      </c>
      <c r="L22" s="43" t="s">
        <v>149</v>
      </c>
      <c r="M22" s="42"/>
      <c r="N22" s="43">
        <v>7</v>
      </c>
      <c r="O22" s="43"/>
      <c r="P22" s="45">
        <v>26.78</v>
      </c>
      <c r="Q22" s="46">
        <v>20</v>
      </c>
      <c r="R22" s="127">
        <f t="shared" si="0"/>
        <v>20</v>
      </c>
      <c r="S22" s="47">
        <f t="shared" si="1"/>
        <v>0.74682598954443613</v>
      </c>
      <c r="T22" s="42"/>
      <c r="U22" s="42"/>
      <c r="V22" s="43" t="s">
        <v>16</v>
      </c>
      <c r="W22" s="43" t="s">
        <v>12</v>
      </c>
      <c r="X22" s="48">
        <f>_xlfn.XLOOKUP(V22,Tables!$C$2:$C$6,Tables!$D$2:$D$6)*K22</f>
        <v>1.3</v>
      </c>
      <c r="Y22" s="48">
        <f t="shared" si="2"/>
        <v>21.3</v>
      </c>
      <c r="Z22" s="51"/>
      <c r="AA22" s="48">
        <f t="shared" si="3"/>
        <v>0</v>
      </c>
      <c r="AB22" s="49">
        <f t="shared" si="4"/>
        <v>21.3</v>
      </c>
      <c r="AC22" s="45">
        <v>28.33</v>
      </c>
      <c r="AD22" s="47">
        <f t="shared" si="5"/>
        <v>0.75185315919519946</v>
      </c>
      <c r="AE22" s="45"/>
      <c r="AF22" s="49">
        <f t="shared" si="6"/>
        <v>21.3</v>
      </c>
      <c r="AG22" s="47">
        <f t="shared" si="7"/>
        <v>0.75185315919519946</v>
      </c>
      <c r="AH22" s="42">
        <v>0.22500999999999999</v>
      </c>
      <c r="AJ22" s="49">
        <f t="shared" si="10"/>
        <v>44304</v>
      </c>
      <c r="AK22" s="49">
        <f t="shared" si="11"/>
        <v>9968.8430399999997</v>
      </c>
      <c r="AL22" s="112">
        <f t="shared" si="8"/>
        <v>14130</v>
      </c>
      <c r="AM22" s="49">
        <f t="shared" si="12"/>
        <v>68402.843040000007</v>
      </c>
      <c r="AO22" s="49">
        <f t="shared" si="9"/>
        <v>3312.42704</v>
      </c>
      <c r="AP22" s="49">
        <f t="shared" si="13"/>
        <v>0</v>
      </c>
    </row>
    <row r="23" spans="1:42" x14ac:dyDescent="0.25">
      <c r="A23" s="42" t="s">
        <v>45</v>
      </c>
      <c r="B23" s="42"/>
      <c r="C23" s="42" t="s">
        <v>84</v>
      </c>
      <c r="D23" s="42"/>
      <c r="E23" s="42"/>
      <c r="F23" s="42"/>
      <c r="G23" s="42"/>
      <c r="H23" s="42"/>
      <c r="I23" s="43" t="s">
        <v>48</v>
      </c>
      <c r="J23" s="43">
        <v>99902</v>
      </c>
      <c r="K23" s="44">
        <v>1</v>
      </c>
      <c r="L23" s="43" t="s">
        <v>148</v>
      </c>
      <c r="M23" s="42"/>
      <c r="N23" s="43">
        <v>7</v>
      </c>
      <c r="O23" s="43"/>
      <c r="P23" s="45">
        <v>26.78</v>
      </c>
      <c r="Q23" s="46">
        <v>20</v>
      </c>
      <c r="R23" s="127">
        <f t="shared" si="0"/>
        <v>20</v>
      </c>
      <c r="S23" s="47">
        <f t="shared" si="1"/>
        <v>0.74682598954443613</v>
      </c>
      <c r="T23" s="42"/>
      <c r="U23" s="42"/>
      <c r="V23" s="43" t="s">
        <v>16</v>
      </c>
      <c r="W23" s="43" t="s">
        <v>12</v>
      </c>
      <c r="X23" s="48">
        <f>_xlfn.XLOOKUP(V23,Tables!$C$2:$C$6,Tables!$D$2:$D$6)*K23</f>
        <v>1.3</v>
      </c>
      <c r="Y23" s="48">
        <f t="shared" si="2"/>
        <v>21.3</v>
      </c>
      <c r="Z23" s="51"/>
      <c r="AA23" s="48">
        <f t="shared" si="3"/>
        <v>0</v>
      </c>
      <c r="AB23" s="49">
        <f t="shared" si="4"/>
        <v>21.3</v>
      </c>
      <c r="AC23" s="45">
        <v>28.33</v>
      </c>
      <c r="AD23" s="47">
        <f t="shared" si="5"/>
        <v>0.75185315919519946</v>
      </c>
      <c r="AE23" s="45"/>
      <c r="AF23" s="49">
        <f t="shared" si="6"/>
        <v>21.3</v>
      </c>
      <c r="AG23" s="47">
        <f t="shared" si="7"/>
        <v>0.75185315919519946</v>
      </c>
      <c r="AH23" s="42">
        <v>0.21501000000000001</v>
      </c>
      <c r="AJ23" s="49">
        <f t="shared" si="10"/>
        <v>44304</v>
      </c>
      <c r="AK23" s="49">
        <f t="shared" si="11"/>
        <v>9525.8030400000007</v>
      </c>
      <c r="AL23" s="112">
        <f t="shared" si="8"/>
        <v>14130</v>
      </c>
      <c r="AM23" s="49">
        <f t="shared" si="12"/>
        <v>67959.803039999999</v>
      </c>
      <c r="AO23" s="49">
        <f t="shared" si="9"/>
        <v>3285.3870399999996</v>
      </c>
      <c r="AP23" s="49">
        <f t="shared" si="13"/>
        <v>0</v>
      </c>
    </row>
    <row r="24" spans="1:42" x14ac:dyDescent="0.25">
      <c r="A24" s="42" t="s">
        <v>25</v>
      </c>
      <c r="B24" s="42"/>
      <c r="C24" s="42" t="s">
        <v>84</v>
      </c>
      <c r="D24" s="42"/>
      <c r="E24" s="42"/>
      <c r="F24" s="42"/>
      <c r="G24" s="42"/>
      <c r="H24" s="42"/>
      <c r="I24" s="43" t="s">
        <v>48</v>
      </c>
      <c r="J24" s="43">
        <v>99902</v>
      </c>
      <c r="K24" s="44">
        <v>1</v>
      </c>
      <c r="L24" s="43" t="s">
        <v>148</v>
      </c>
      <c r="M24" s="42"/>
      <c r="N24" s="43">
        <v>7</v>
      </c>
      <c r="O24" s="43"/>
      <c r="P24" s="45">
        <v>26.78</v>
      </c>
      <c r="Q24" s="46">
        <v>20</v>
      </c>
      <c r="R24" s="127">
        <f t="shared" si="0"/>
        <v>20</v>
      </c>
      <c r="S24" s="47">
        <f t="shared" si="1"/>
        <v>0.74682598954443613</v>
      </c>
      <c r="T24" s="42"/>
      <c r="U24" s="42"/>
      <c r="V24" s="43" t="s">
        <v>16</v>
      </c>
      <c r="W24" s="43" t="s">
        <v>12</v>
      </c>
      <c r="X24" s="48">
        <f>_xlfn.XLOOKUP(V24,Tables!$C$2:$C$6,Tables!$D$2:$D$6)*K24</f>
        <v>1.3</v>
      </c>
      <c r="Y24" s="48">
        <f t="shared" si="2"/>
        <v>21.3</v>
      </c>
      <c r="Z24" s="51"/>
      <c r="AA24" s="48">
        <f t="shared" si="3"/>
        <v>0</v>
      </c>
      <c r="AB24" s="49">
        <f t="shared" si="4"/>
        <v>21.3</v>
      </c>
      <c r="AC24" s="45">
        <v>28.33</v>
      </c>
      <c r="AD24" s="47">
        <f t="shared" si="5"/>
        <v>0.75185315919519946</v>
      </c>
      <c r="AE24" s="45"/>
      <c r="AF24" s="49">
        <f t="shared" si="6"/>
        <v>21.3</v>
      </c>
      <c r="AG24" s="47">
        <f t="shared" si="7"/>
        <v>0.75185315919519946</v>
      </c>
      <c r="AH24" s="42">
        <v>0.21501000000000001</v>
      </c>
      <c r="AJ24" s="49">
        <f t="shared" si="10"/>
        <v>44304</v>
      </c>
      <c r="AK24" s="49">
        <f t="shared" si="11"/>
        <v>9525.8030400000007</v>
      </c>
      <c r="AL24" s="112">
        <f t="shared" si="8"/>
        <v>14130</v>
      </c>
      <c r="AM24" s="49">
        <f t="shared" si="12"/>
        <v>67959.803039999999</v>
      </c>
      <c r="AO24" s="49">
        <f t="shared" si="9"/>
        <v>3285.3870399999996</v>
      </c>
      <c r="AP24" s="49">
        <f t="shared" si="13"/>
        <v>0</v>
      </c>
    </row>
    <row r="25" spans="1:42" x14ac:dyDescent="0.25">
      <c r="A25" s="42" t="s">
        <v>42</v>
      </c>
      <c r="B25" s="42"/>
      <c r="C25" s="42" t="s">
        <v>84</v>
      </c>
      <c r="D25" s="42"/>
      <c r="E25" s="42"/>
      <c r="F25" s="42"/>
      <c r="G25" s="42"/>
      <c r="H25" s="42"/>
      <c r="I25" s="43" t="s">
        <v>49</v>
      </c>
      <c r="J25" s="43">
        <v>99901</v>
      </c>
      <c r="K25" s="44">
        <v>1</v>
      </c>
      <c r="L25" s="43" t="s">
        <v>148</v>
      </c>
      <c r="M25" s="42"/>
      <c r="N25" s="43">
        <v>7</v>
      </c>
      <c r="O25" s="43"/>
      <c r="P25" s="45">
        <v>26.78</v>
      </c>
      <c r="Q25" s="46">
        <v>20</v>
      </c>
      <c r="R25" s="127">
        <f t="shared" si="0"/>
        <v>20</v>
      </c>
      <c r="S25" s="47">
        <f t="shared" si="1"/>
        <v>0.74682598954443613</v>
      </c>
      <c r="T25" s="42"/>
      <c r="U25" s="42"/>
      <c r="V25" s="43" t="s">
        <v>16</v>
      </c>
      <c r="W25" s="43" t="s">
        <v>12</v>
      </c>
      <c r="X25" s="48">
        <f>_xlfn.XLOOKUP(V25,Tables!$C$2:$C$6,Tables!$D$2:$D$6)*K25</f>
        <v>1.3</v>
      </c>
      <c r="Y25" s="48">
        <f t="shared" si="2"/>
        <v>21.3</v>
      </c>
      <c r="Z25" s="51"/>
      <c r="AA25" s="48">
        <f t="shared" si="3"/>
        <v>0</v>
      </c>
      <c r="AB25" s="49">
        <f t="shared" si="4"/>
        <v>21.3</v>
      </c>
      <c r="AC25" s="45">
        <v>28.33</v>
      </c>
      <c r="AD25" s="47">
        <f t="shared" si="5"/>
        <v>0.75185315919519946</v>
      </c>
      <c r="AE25" s="45"/>
      <c r="AF25" s="49">
        <f t="shared" si="6"/>
        <v>21.3</v>
      </c>
      <c r="AG25" s="47">
        <f t="shared" si="7"/>
        <v>0.75185315919519946</v>
      </c>
      <c r="AH25" s="42">
        <v>0.21501000000000001</v>
      </c>
      <c r="AJ25" s="49">
        <f t="shared" si="10"/>
        <v>44304</v>
      </c>
      <c r="AK25" s="49">
        <f t="shared" si="11"/>
        <v>9525.8030400000007</v>
      </c>
      <c r="AL25" s="112">
        <f t="shared" si="8"/>
        <v>14130</v>
      </c>
      <c r="AM25" s="49">
        <f t="shared" si="12"/>
        <v>67959.803039999999</v>
      </c>
      <c r="AO25" s="49">
        <f t="shared" si="9"/>
        <v>3285.3870399999996</v>
      </c>
      <c r="AP25" s="49">
        <f t="shared" si="13"/>
        <v>0</v>
      </c>
    </row>
    <row r="26" spans="1:42" x14ac:dyDescent="0.25">
      <c r="A26" s="42" t="s">
        <v>26</v>
      </c>
      <c r="B26" s="42"/>
      <c r="C26" s="42" t="s">
        <v>84</v>
      </c>
      <c r="D26" s="42"/>
      <c r="E26" s="42"/>
      <c r="F26" s="42"/>
      <c r="G26" s="42"/>
      <c r="H26" s="42"/>
      <c r="I26" s="43" t="s">
        <v>49</v>
      </c>
      <c r="J26" s="43">
        <v>99902</v>
      </c>
      <c r="K26" s="44">
        <v>0.5</v>
      </c>
      <c r="L26" s="43" t="s">
        <v>148</v>
      </c>
      <c r="M26" s="42"/>
      <c r="N26" s="43">
        <v>7</v>
      </c>
      <c r="O26" s="43"/>
      <c r="P26" s="45">
        <v>26.78</v>
      </c>
      <c r="Q26" s="46">
        <v>20</v>
      </c>
      <c r="R26" s="127">
        <f t="shared" si="0"/>
        <v>10</v>
      </c>
      <c r="S26" s="47">
        <f t="shared" ref="S26" si="14">Q26/P26</f>
        <v>0.74682598954443613</v>
      </c>
      <c r="T26" s="42"/>
      <c r="U26" s="42"/>
      <c r="V26" s="43" t="s">
        <v>16</v>
      </c>
      <c r="W26" s="43" t="s">
        <v>12</v>
      </c>
      <c r="X26" s="48">
        <f>_xlfn.XLOOKUP(V26,Tables!$C$2:$C$6,Tables!$D$2:$D$6)*K26</f>
        <v>0.65</v>
      </c>
      <c r="Y26" s="48">
        <f t="shared" si="2"/>
        <v>10.65</v>
      </c>
      <c r="Z26" s="51"/>
      <c r="AA26" s="48">
        <f t="shared" si="3"/>
        <v>0</v>
      </c>
      <c r="AB26" s="49">
        <f t="shared" si="4"/>
        <v>10.65</v>
      </c>
      <c r="AC26" s="45">
        <v>28.33</v>
      </c>
      <c r="AD26" s="47">
        <f t="shared" si="5"/>
        <v>0.75185315919519946</v>
      </c>
      <c r="AE26" s="45"/>
      <c r="AF26" s="49">
        <f t="shared" si="6"/>
        <v>10.65</v>
      </c>
      <c r="AG26" s="47">
        <f t="shared" si="7"/>
        <v>0.75185315919519946</v>
      </c>
      <c r="AH26" s="42">
        <v>0.21501000000000001</v>
      </c>
      <c r="AJ26" s="49">
        <f t="shared" si="10"/>
        <v>22152</v>
      </c>
      <c r="AK26" s="49">
        <f t="shared" si="11"/>
        <v>4762.9015200000003</v>
      </c>
      <c r="AL26" s="112">
        <f t="shared" si="8"/>
        <v>7065</v>
      </c>
      <c r="AM26" s="49">
        <f t="shared" si="12"/>
        <v>33979.901519999999</v>
      </c>
      <c r="AO26" s="49">
        <f t="shared" si="9"/>
        <v>1642.6935199999998</v>
      </c>
      <c r="AP26" s="49">
        <f t="shared" si="13"/>
        <v>0</v>
      </c>
    </row>
    <row r="27" spans="1:42" x14ac:dyDescent="0.25">
      <c r="A27" s="42" t="s">
        <v>26</v>
      </c>
      <c r="B27" s="42"/>
      <c r="C27" s="42" t="s">
        <v>84</v>
      </c>
      <c r="D27" s="42"/>
      <c r="E27" s="42"/>
      <c r="F27" s="42"/>
      <c r="G27" s="42"/>
      <c r="H27" s="42"/>
      <c r="I27" s="43" t="s">
        <v>49</v>
      </c>
      <c r="J27" s="43">
        <v>99902</v>
      </c>
      <c r="K27" s="44">
        <v>0.5</v>
      </c>
      <c r="L27" s="43" t="s">
        <v>148</v>
      </c>
      <c r="M27" s="42"/>
      <c r="N27" s="43">
        <v>7</v>
      </c>
      <c r="O27" s="43"/>
      <c r="P27" s="45">
        <v>26.78</v>
      </c>
      <c r="Q27" s="46">
        <v>20</v>
      </c>
      <c r="R27" s="127">
        <f t="shared" si="0"/>
        <v>10</v>
      </c>
      <c r="S27" s="47">
        <f t="shared" si="1"/>
        <v>0.74682598954443613</v>
      </c>
      <c r="T27" s="42"/>
      <c r="U27" s="42"/>
      <c r="V27" s="43" t="s">
        <v>16</v>
      </c>
      <c r="W27" s="43" t="s">
        <v>12</v>
      </c>
      <c r="X27" s="48">
        <f>_xlfn.XLOOKUP(V27,Tables!$C$2:$C$6,Tables!$D$2:$D$6)*K27</f>
        <v>0.65</v>
      </c>
      <c r="Y27" s="48">
        <f t="shared" si="2"/>
        <v>10.65</v>
      </c>
      <c r="Z27" s="51"/>
      <c r="AA27" s="48">
        <f t="shared" si="3"/>
        <v>0</v>
      </c>
      <c r="AB27" s="49">
        <f t="shared" si="4"/>
        <v>10.65</v>
      </c>
      <c r="AC27" s="45">
        <v>28.33</v>
      </c>
      <c r="AD27" s="47">
        <f t="shared" si="5"/>
        <v>0.75185315919519946</v>
      </c>
      <c r="AE27" s="45"/>
      <c r="AF27" s="49">
        <f t="shared" si="6"/>
        <v>10.65</v>
      </c>
      <c r="AG27" s="47">
        <f t="shared" si="7"/>
        <v>0.75185315919519946</v>
      </c>
      <c r="AH27" s="42">
        <v>0.21501000000000001</v>
      </c>
      <c r="AJ27" s="49">
        <f t="shared" si="10"/>
        <v>22152</v>
      </c>
      <c r="AK27" s="49">
        <f t="shared" si="11"/>
        <v>4762.9015200000003</v>
      </c>
      <c r="AL27" s="112">
        <f t="shared" si="8"/>
        <v>7065</v>
      </c>
      <c r="AM27" s="49">
        <f t="shared" si="12"/>
        <v>33979.901519999999</v>
      </c>
      <c r="AO27" s="49">
        <f t="shared" si="9"/>
        <v>1642.6935199999998</v>
      </c>
      <c r="AP27" s="49">
        <f t="shared" si="13"/>
        <v>0</v>
      </c>
    </row>
    <row r="28" spans="1:42" x14ac:dyDescent="0.25">
      <c r="A28" s="42" t="s">
        <v>23</v>
      </c>
      <c r="B28" s="42"/>
      <c r="C28" s="42" t="s">
        <v>84</v>
      </c>
      <c r="D28" s="42"/>
      <c r="E28" s="42"/>
      <c r="F28" s="42"/>
      <c r="G28" s="42"/>
      <c r="H28" s="42"/>
      <c r="I28" s="43" t="s">
        <v>49</v>
      </c>
      <c r="J28" s="43">
        <v>99902</v>
      </c>
      <c r="K28" s="44">
        <v>0.7</v>
      </c>
      <c r="L28" s="43" t="s">
        <v>148</v>
      </c>
      <c r="M28" s="42"/>
      <c r="N28" s="43">
        <v>7</v>
      </c>
      <c r="O28" s="43"/>
      <c r="P28" s="45">
        <v>26.78</v>
      </c>
      <c r="Q28" s="46">
        <v>20</v>
      </c>
      <c r="R28" s="127">
        <f t="shared" si="0"/>
        <v>14</v>
      </c>
      <c r="S28" s="47">
        <f t="shared" si="1"/>
        <v>0.74682598954443613</v>
      </c>
      <c r="T28" s="42"/>
      <c r="U28" s="42"/>
      <c r="V28" s="43" t="s">
        <v>16</v>
      </c>
      <c r="W28" s="43" t="s">
        <v>12</v>
      </c>
      <c r="X28" s="48">
        <f>_xlfn.XLOOKUP(V28,Tables!$C$2:$C$6,Tables!$D$2:$D$6)*K28</f>
        <v>0.90999999999999992</v>
      </c>
      <c r="Y28" s="48">
        <f t="shared" si="2"/>
        <v>14.91</v>
      </c>
      <c r="Z28" s="51"/>
      <c r="AA28" s="48">
        <f t="shared" si="3"/>
        <v>0</v>
      </c>
      <c r="AB28" s="49">
        <f t="shared" si="4"/>
        <v>14.91</v>
      </c>
      <c r="AC28" s="45">
        <v>28.33</v>
      </c>
      <c r="AD28" s="47">
        <f t="shared" si="5"/>
        <v>0.75185315919519957</v>
      </c>
      <c r="AE28" s="45"/>
      <c r="AF28" s="49">
        <f t="shared" si="6"/>
        <v>14.91</v>
      </c>
      <c r="AG28" s="47">
        <f t="shared" si="7"/>
        <v>0.75185315919519957</v>
      </c>
      <c r="AH28" s="42">
        <v>0.21501000000000001</v>
      </c>
      <c r="AJ28" s="49">
        <f t="shared" si="10"/>
        <v>31012.799999999999</v>
      </c>
      <c r="AK28" s="49">
        <f t="shared" si="11"/>
        <v>6668.0621280000005</v>
      </c>
      <c r="AL28" s="112">
        <f t="shared" si="8"/>
        <v>9891</v>
      </c>
      <c r="AM28" s="49">
        <f t="shared" si="12"/>
        <v>47571.862128000001</v>
      </c>
      <c r="AO28" s="49">
        <f t="shared" si="9"/>
        <v>2299.7709279999995</v>
      </c>
      <c r="AP28" s="49">
        <f t="shared" si="13"/>
        <v>0</v>
      </c>
    </row>
    <row r="29" spans="1:42" x14ac:dyDescent="0.25">
      <c r="A29" s="42" t="s">
        <v>23</v>
      </c>
      <c r="B29" s="42"/>
      <c r="C29" s="42" t="s">
        <v>84</v>
      </c>
      <c r="D29" s="42"/>
      <c r="E29" s="42"/>
      <c r="F29" s="42"/>
      <c r="G29" s="42"/>
      <c r="H29" s="42"/>
      <c r="I29" s="43" t="s">
        <v>49</v>
      </c>
      <c r="J29" s="43">
        <v>99902</v>
      </c>
      <c r="K29" s="44">
        <v>0.3</v>
      </c>
      <c r="L29" s="43" t="s">
        <v>148</v>
      </c>
      <c r="M29" s="42"/>
      <c r="N29" s="43">
        <v>7</v>
      </c>
      <c r="O29" s="43"/>
      <c r="P29" s="45">
        <v>26.78</v>
      </c>
      <c r="Q29" s="46">
        <v>20</v>
      </c>
      <c r="R29" s="127">
        <f t="shared" si="0"/>
        <v>6</v>
      </c>
      <c r="S29" s="47">
        <f t="shared" ref="S29" si="15">Q29/P29</f>
        <v>0.74682598954443613</v>
      </c>
      <c r="T29" s="42"/>
      <c r="U29" s="42"/>
      <c r="V29" s="43" t="s">
        <v>16</v>
      </c>
      <c r="W29" s="43" t="s">
        <v>12</v>
      </c>
      <c r="X29" s="48">
        <f>_xlfn.XLOOKUP(V29,Tables!$C$2:$C$6,Tables!$D$2:$D$6)*K29</f>
        <v>0.39</v>
      </c>
      <c r="Y29" s="48">
        <f t="shared" si="2"/>
        <v>6.39</v>
      </c>
      <c r="Z29" s="51"/>
      <c r="AA29" s="48">
        <f t="shared" si="3"/>
        <v>0</v>
      </c>
      <c r="AB29" s="49">
        <f t="shared" si="4"/>
        <v>6.39</v>
      </c>
      <c r="AC29" s="45">
        <v>28.33</v>
      </c>
      <c r="AD29" s="47">
        <f t="shared" si="5"/>
        <v>0.75185315919519946</v>
      </c>
      <c r="AE29" s="45"/>
      <c r="AF29" s="49">
        <f t="shared" si="6"/>
        <v>6.39</v>
      </c>
      <c r="AG29" s="47">
        <f t="shared" si="7"/>
        <v>0.75185315919519946</v>
      </c>
      <c r="AH29" s="42">
        <v>0.21501000000000001</v>
      </c>
      <c r="AJ29" s="49">
        <f t="shared" si="10"/>
        <v>13291.199999999999</v>
      </c>
      <c r="AK29" s="49">
        <f t="shared" si="11"/>
        <v>2857.7409119999998</v>
      </c>
      <c r="AL29" s="112">
        <f t="shared" si="8"/>
        <v>4239</v>
      </c>
      <c r="AM29" s="49">
        <f t="shared" si="12"/>
        <v>20387.940911999998</v>
      </c>
      <c r="AO29" s="49">
        <f t="shared" si="9"/>
        <v>985.61611200000004</v>
      </c>
      <c r="AP29" s="49">
        <f t="shared" si="13"/>
        <v>0</v>
      </c>
    </row>
    <row r="30" spans="1:42" x14ac:dyDescent="0.25">
      <c r="A30" s="42" t="s">
        <v>32</v>
      </c>
      <c r="B30" s="42"/>
      <c r="C30" s="42" t="s">
        <v>84</v>
      </c>
      <c r="D30" s="42"/>
      <c r="E30" s="42"/>
      <c r="F30" s="42"/>
      <c r="G30" s="42"/>
      <c r="H30" s="42"/>
      <c r="I30" s="43" t="s">
        <v>48</v>
      </c>
      <c r="J30" s="43">
        <v>99902</v>
      </c>
      <c r="K30" s="44">
        <v>0.2</v>
      </c>
      <c r="L30" s="43" t="s">
        <v>148</v>
      </c>
      <c r="M30" s="42"/>
      <c r="N30" s="43">
        <v>7</v>
      </c>
      <c r="O30" s="43"/>
      <c r="P30" s="45">
        <v>26.78</v>
      </c>
      <c r="Q30" s="45">
        <v>20</v>
      </c>
      <c r="R30" s="127">
        <f t="shared" si="0"/>
        <v>4</v>
      </c>
      <c r="S30" s="47">
        <f>Q30/P30</f>
        <v>0.74682598954443613</v>
      </c>
      <c r="T30" s="42"/>
      <c r="U30" s="42"/>
      <c r="V30" s="43" t="s">
        <v>16</v>
      </c>
      <c r="W30" s="43" t="s">
        <v>12</v>
      </c>
      <c r="X30" s="48">
        <f>_xlfn.XLOOKUP(V30,Tables!$C$2:$C$6,Tables!$D$2:$D$6)*K30</f>
        <v>0.26</v>
      </c>
      <c r="Y30" s="48">
        <f t="shared" si="2"/>
        <v>4.26</v>
      </c>
      <c r="Z30" s="51">
        <v>4.4999999999999998E-2</v>
      </c>
      <c r="AA30" s="48">
        <f t="shared" si="3"/>
        <v>0.18</v>
      </c>
      <c r="AB30" s="49">
        <f t="shared" si="4"/>
        <v>4.4399999999999995</v>
      </c>
      <c r="AC30" s="45">
        <v>28.33</v>
      </c>
      <c r="AD30" s="47">
        <f t="shared" si="5"/>
        <v>0.78362160254147528</v>
      </c>
      <c r="AE30" s="45"/>
      <c r="AF30" s="49">
        <f t="shared" si="6"/>
        <v>4.4399999999999995</v>
      </c>
      <c r="AG30" s="47">
        <f t="shared" si="7"/>
        <v>0.78362160254147528</v>
      </c>
      <c r="AH30" s="42">
        <v>0.21501000000000001</v>
      </c>
      <c r="AJ30" s="49">
        <f t="shared" si="10"/>
        <v>9235.1999999999989</v>
      </c>
      <c r="AK30" s="49">
        <f t="shared" si="11"/>
        <v>1985.6603519999999</v>
      </c>
      <c r="AL30" s="112">
        <f t="shared" si="8"/>
        <v>2826</v>
      </c>
      <c r="AM30" s="49">
        <f t="shared" si="12"/>
        <v>14046.860352</v>
      </c>
      <c r="AO30" s="49">
        <f t="shared" si="9"/>
        <v>657.07740799999999</v>
      </c>
      <c r="AP30" s="49">
        <f t="shared" si="13"/>
        <v>454.89974399999994</v>
      </c>
    </row>
    <row r="31" spans="1:42" x14ac:dyDescent="0.25">
      <c r="A31" s="42" t="s">
        <v>32</v>
      </c>
      <c r="B31" s="42"/>
      <c r="C31" s="42" t="s">
        <v>84</v>
      </c>
      <c r="D31" s="42"/>
      <c r="E31" s="42"/>
      <c r="F31" s="42"/>
      <c r="G31" s="42"/>
      <c r="H31" s="42"/>
      <c r="I31" s="43" t="s">
        <v>49</v>
      </c>
      <c r="J31" s="43">
        <v>99901</v>
      </c>
      <c r="K31" s="44">
        <v>0.45</v>
      </c>
      <c r="L31" s="43" t="s">
        <v>148</v>
      </c>
      <c r="M31" s="42"/>
      <c r="N31" s="43">
        <v>7</v>
      </c>
      <c r="O31" s="43"/>
      <c r="P31" s="45">
        <v>26.78</v>
      </c>
      <c r="Q31" s="45">
        <v>20</v>
      </c>
      <c r="R31" s="127">
        <f t="shared" si="0"/>
        <v>9</v>
      </c>
      <c r="S31" s="47">
        <f t="shared" ref="S31:S32" si="16">Q31/P31</f>
        <v>0.74682598954443613</v>
      </c>
      <c r="T31" s="42"/>
      <c r="U31" s="42"/>
      <c r="V31" s="43" t="s">
        <v>16</v>
      </c>
      <c r="W31" s="43" t="s">
        <v>12</v>
      </c>
      <c r="X31" s="48">
        <f>_xlfn.XLOOKUP(V31,Tables!$C$2:$C$6,Tables!$D$2:$D$6)*K31</f>
        <v>0.58500000000000008</v>
      </c>
      <c r="Y31" s="48">
        <f t="shared" si="2"/>
        <v>9.5850000000000009</v>
      </c>
      <c r="Z31" s="51">
        <v>4.4999999999999998E-2</v>
      </c>
      <c r="AA31" s="48">
        <f t="shared" si="3"/>
        <v>0.40499999999999997</v>
      </c>
      <c r="AB31" s="49">
        <f t="shared" si="4"/>
        <v>9.99</v>
      </c>
      <c r="AC31" s="45">
        <v>28.33</v>
      </c>
      <c r="AD31" s="47">
        <f t="shared" si="5"/>
        <v>0.7836216025414755</v>
      </c>
      <c r="AE31" s="45"/>
      <c r="AF31" s="49">
        <f t="shared" si="6"/>
        <v>9.99</v>
      </c>
      <c r="AG31" s="47">
        <f t="shared" si="7"/>
        <v>0.7836216025414755</v>
      </c>
      <c r="AH31" s="42">
        <v>0.21501000000000001</v>
      </c>
      <c r="AJ31" s="49">
        <f t="shared" si="10"/>
        <v>20779.2</v>
      </c>
      <c r="AK31" s="49">
        <f t="shared" si="11"/>
        <v>4467.7357920000004</v>
      </c>
      <c r="AL31" s="112">
        <f t="shared" si="8"/>
        <v>6358.5</v>
      </c>
      <c r="AM31" s="49">
        <f t="shared" si="12"/>
        <v>31605.435792</v>
      </c>
      <c r="AO31" s="49">
        <f t="shared" si="9"/>
        <v>1478.4241680000002</v>
      </c>
      <c r="AP31" s="49">
        <f t="shared" si="13"/>
        <v>1023.524424</v>
      </c>
    </row>
    <row r="32" spans="1:42" x14ac:dyDescent="0.25">
      <c r="A32" s="42" t="s">
        <v>32</v>
      </c>
      <c r="B32" s="42"/>
      <c r="C32" s="42" t="s">
        <v>84</v>
      </c>
      <c r="D32" s="42"/>
      <c r="E32" s="42"/>
      <c r="F32" s="42"/>
      <c r="G32" s="42"/>
      <c r="H32" s="42"/>
      <c r="I32" s="43" t="s">
        <v>49</v>
      </c>
      <c r="J32" s="43">
        <v>99902</v>
      </c>
      <c r="K32" s="44">
        <v>0.35</v>
      </c>
      <c r="L32" s="43" t="s">
        <v>148</v>
      </c>
      <c r="M32" s="42"/>
      <c r="N32" s="43">
        <v>7</v>
      </c>
      <c r="O32" s="43"/>
      <c r="P32" s="45">
        <v>26.78</v>
      </c>
      <c r="Q32" s="45">
        <v>20</v>
      </c>
      <c r="R32" s="127">
        <f t="shared" si="0"/>
        <v>7</v>
      </c>
      <c r="S32" s="47">
        <f t="shared" si="16"/>
        <v>0.74682598954443613</v>
      </c>
      <c r="T32" s="42"/>
      <c r="U32" s="42"/>
      <c r="V32" s="43" t="s">
        <v>16</v>
      </c>
      <c r="W32" s="43" t="s">
        <v>12</v>
      </c>
      <c r="X32" s="48">
        <f>_xlfn.XLOOKUP(V32,Tables!$C$2:$C$6,Tables!$D$2:$D$6)*K32</f>
        <v>0.45499999999999996</v>
      </c>
      <c r="Y32" s="48">
        <f t="shared" si="2"/>
        <v>7.4550000000000001</v>
      </c>
      <c r="Z32" s="51">
        <v>4.4999999999999998E-2</v>
      </c>
      <c r="AA32" s="48">
        <f t="shared" si="3"/>
        <v>0.31499999999999995</v>
      </c>
      <c r="AB32" s="49">
        <f t="shared" si="4"/>
        <v>7.77</v>
      </c>
      <c r="AC32" s="45">
        <v>28.33</v>
      </c>
      <c r="AD32" s="47">
        <f t="shared" si="5"/>
        <v>0.7836216025414755</v>
      </c>
      <c r="AE32" s="45"/>
      <c r="AF32" s="49">
        <f t="shared" si="6"/>
        <v>7.77</v>
      </c>
      <c r="AG32" s="47">
        <f t="shared" si="7"/>
        <v>0.7836216025414755</v>
      </c>
      <c r="AH32" s="42">
        <v>0.21501000000000001</v>
      </c>
      <c r="AJ32" s="49">
        <f t="shared" si="10"/>
        <v>16161.599999999999</v>
      </c>
      <c r="AK32" s="49">
        <f t="shared" si="11"/>
        <v>3474.905616</v>
      </c>
      <c r="AL32" s="112">
        <f t="shared" si="8"/>
        <v>4945.5</v>
      </c>
      <c r="AM32" s="49">
        <f t="shared" si="12"/>
        <v>24582.005615999999</v>
      </c>
      <c r="AO32" s="49">
        <f t="shared" si="9"/>
        <v>1149.8854639999997</v>
      </c>
      <c r="AP32" s="49">
        <f t="shared" si="13"/>
        <v>796.07455199999981</v>
      </c>
    </row>
  </sheetData>
  <autoFilter ref="A3:AO32" xr:uid="{9766E609-A283-4BFA-B3AE-C52F2EC47E3B}"/>
  <conditionalFormatting sqref="A3:AM3">
    <cfRule type="cellIs" dxfId="1" priority="3" operator="lessThan">
      <formula>0</formula>
    </cfRule>
  </conditionalFormatting>
  <conditionalFormatting sqref="AO3:AP3">
    <cfRule type="cellIs" dxfId="0" priority="1" operator="lessThan">
      <formula>0</formula>
    </cfRule>
  </conditionalFormatting>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5">
        <x14:dataValidation type="list" allowBlank="1" showInputMessage="1" showErrorMessage="1" xr:uid="{852E0FB7-6C0A-47A6-A3B5-7B21A4EB0D97}">
          <x14:formula1>
            <xm:f>Tables!$A$2:$A$3</xm:f>
          </x14:formula1>
          <xm:sqref>L1:L2 L4:L1048576</xm:sqref>
        </x14:dataValidation>
        <x14:dataValidation type="list" allowBlank="1" showInputMessage="1" showErrorMessage="1" xr:uid="{CFF7AE45-2EC1-48A5-A703-24EDE47F050C}">
          <x14:formula1>
            <xm:f>Tables!$B$2:$B$3</xm:f>
          </x14:formula1>
          <xm:sqref>W1:W2 W4:W1048576</xm:sqref>
        </x14:dataValidation>
        <x14:dataValidation type="list" allowBlank="1" showInputMessage="1" showErrorMessage="1" xr:uid="{66911DA7-0816-469E-9C40-53726B1C71E7}">
          <x14:formula1>
            <xm:f>Tables!$C$2:$C$6</xm:f>
          </x14:formula1>
          <xm:sqref>V1:W2 V4:W1048576</xm:sqref>
        </x14:dataValidation>
        <x14:dataValidation type="list" allowBlank="1" showInputMessage="1" showErrorMessage="1" xr:uid="{0A30A715-DD71-4DDB-9FDE-C9235652D634}">
          <x14:formula1>
            <xm:f>Summary!$C$7:$C$500</xm:f>
          </x14:formula1>
          <xm:sqref>J1:J2 J4:J1048576</xm:sqref>
        </x14:dataValidation>
        <x14:dataValidation type="list" allowBlank="1" showInputMessage="1" showErrorMessage="1" xr:uid="{DD50796B-CC84-4922-A09B-DD780CD8EDD2}">
          <x14:formula1>
            <xm:f>Summary!$B$7:$B$500</xm:f>
          </x14:formula1>
          <xm:sqref>I1:I2 I4:I1048576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66B986-BFF4-4A1C-9837-E7CB1C941152}">
  <sheetPr>
    <tabColor theme="0" tint="-0.14999847407452621"/>
  </sheetPr>
  <dimension ref="A1:Y45"/>
  <sheetViews>
    <sheetView workbookViewId="0"/>
  </sheetViews>
  <sheetFormatPr defaultColWidth="9.140625" defaultRowHeight="15" x14ac:dyDescent="0.25"/>
  <cols>
    <col min="1" max="6" width="9.140625" style="52"/>
    <col min="7" max="7" width="10.5703125" style="52" customWidth="1"/>
    <col min="8" max="9" width="9.140625" style="52"/>
    <col min="10" max="10" width="11.140625" style="52" customWidth="1"/>
    <col min="11" max="12" width="9.140625" style="52"/>
    <col min="13" max="13" width="10.28515625" style="52" customWidth="1"/>
    <col min="14" max="25" width="9.140625" style="52"/>
    <col min="26" max="26" width="23" style="52" customWidth="1"/>
    <col min="27" max="16384" width="9.140625" style="52"/>
  </cols>
  <sheetData>
    <row r="1" spans="1:25" ht="20.100000000000001" customHeight="1" thickBot="1" x14ac:dyDescent="0.3">
      <c r="C1" s="53" t="s">
        <v>128</v>
      </c>
      <c r="D1" s="53"/>
      <c r="E1" s="53"/>
      <c r="F1" s="53"/>
      <c r="G1" s="54"/>
      <c r="H1" s="54"/>
      <c r="I1" s="54"/>
      <c r="J1" s="54"/>
      <c r="K1" s="54"/>
      <c r="L1" s="54"/>
      <c r="M1" s="54"/>
      <c r="O1" s="55" t="s">
        <v>129</v>
      </c>
      <c r="P1" s="55"/>
      <c r="Q1" s="55"/>
      <c r="R1" s="55"/>
      <c r="S1" s="56"/>
      <c r="T1" s="56"/>
      <c r="U1" s="56"/>
      <c r="V1" s="56"/>
      <c r="W1" s="56"/>
      <c r="X1" s="56"/>
      <c r="Y1" s="56"/>
    </row>
    <row r="2" spans="1:25" ht="18.75" thickBot="1" x14ac:dyDescent="0.3">
      <c r="A2" s="57"/>
      <c r="B2" s="57"/>
      <c r="C2" s="58"/>
      <c r="D2" s="58"/>
      <c r="E2" s="59"/>
      <c r="F2" s="59"/>
      <c r="G2" s="59"/>
      <c r="H2" s="59"/>
      <c r="I2" s="59"/>
      <c r="J2" s="59"/>
      <c r="K2" s="59"/>
      <c r="L2" s="59"/>
      <c r="M2" s="59"/>
      <c r="O2" s="60"/>
      <c r="P2" s="60"/>
      <c r="Q2" s="61"/>
      <c r="R2" s="61"/>
      <c r="S2" s="61"/>
      <c r="T2" s="61"/>
      <c r="U2" s="61"/>
      <c r="V2" s="61"/>
      <c r="W2" s="61"/>
      <c r="X2" s="61"/>
      <c r="Y2" s="61"/>
    </row>
    <row r="3" spans="1:25" x14ac:dyDescent="0.25">
      <c r="A3"/>
      <c r="B3"/>
      <c r="C3" s="165" t="s">
        <v>52</v>
      </c>
      <c r="D3" s="165" t="s">
        <v>53</v>
      </c>
      <c r="E3" s="167" t="s">
        <v>54</v>
      </c>
      <c r="F3" s="169" t="s">
        <v>55</v>
      </c>
      <c r="G3" s="171" t="s">
        <v>56</v>
      </c>
      <c r="H3" s="162" t="s">
        <v>57</v>
      </c>
      <c r="I3" s="163"/>
      <c r="J3" s="164"/>
      <c r="K3" s="162" t="s">
        <v>58</v>
      </c>
      <c r="L3" s="163"/>
      <c r="M3" s="164"/>
      <c r="N3" s="62"/>
      <c r="O3" s="149" t="s">
        <v>52</v>
      </c>
      <c r="P3" s="151" t="s">
        <v>53</v>
      </c>
      <c r="Q3" s="153" t="s">
        <v>54</v>
      </c>
      <c r="R3" s="155" t="s">
        <v>55</v>
      </c>
      <c r="S3" s="157" t="s">
        <v>56</v>
      </c>
      <c r="T3" s="141" t="s">
        <v>57</v>
      </c>
      <c r="U3" s="142"/>
      <c r="V3" s="143"/>
      <c r="W3" s="144" t="s">
        <v>58</v>
      </c>
      <c r="X3" s="142"/>
      <c r="Y3" s="145"/>
    </row>
    <row r="4" spans="1:25" ht="39" customHeight="1" x14ac:dyDescent="0.25">
      <c r="A4"/>
      <c r="B4"/>
      <c r="C4" s="166"/>
      <c r="D4" s="166"/>
      <c r="E4" s="168"/>
      <c r="F4" s="170"/>
      <c r="G4" s="172"/>
      <c r="H4" s="63" t="s">
        <v>59</v>
      </c>
      <c r="I4" s="64" t="s">
        <v>60</v>
      </c>
      <c r="J4" s="65" t="s">
        <v>61</v>
      </c>
      <c r="K4" s="63" t="s">
        <v>62</v>
      </c>
      <c r="L4" s="64" t="s">
        <v>60</v>
      </c>
      <c r="M4" s="65" t="s">
        <v>61</v>
      </c>
      <c r="N4" s="62"/>
      <c r="O4" s="150"/>
      <c r="P4" s="152"/>
      <c r="Q4" s="154"/>
      <c r="R4" s="156"/>
      <c r="S4" s="158"/>
      <c r="T4" s="66" t="s">
        <v>59</v>
      </c>
      <c r="U4" s="67" t="s">
        <v>60</v>
      </c>
      <c r="V4" s="68" t="s">
        <v>61</v>
      </c>
      <c r="W4" s="69" t="s">
        <v>62</v>
      </c>
      <c r="X4" s="70" t="s">
        <v>60</v>
      </c>
      <c r="Y4" s="71" t="s">
        <v>61</v>
      </c>
    </row>
    <row r="5" spans="1:25" ht="15.75" customHeight="1" thickBot="1" x14ac:dyDescent="0.3">
      <c r="A5"/>
      <c r="B5"/>
      <c r="C5" s="72">
        <v>1</v>
      </c>
      <c r="D5" s="72" t="s">
        <v>63</v>
      </c>
      <c r="E5" s="159" t="s">
        <v>64</v>
      </c>
      <c r="F5" s="160"/>
      <c r="G5" s="161"/>
      <c r="H5" s="76">
        <v>7.25</v>
      </c>
      <c r="I5" s="77">
        <f t="shared" ref="I5:J21" si="0">ROUND(L5/2080,2)</f>
        <v>12.5</v>
      </c>
      <c r="J5" s="78">
        <f t="shared" si="0"/>
        <v>18.75</v>
      </c>
      <c r="K5" s="79">
        <f t="shared" ref="K5:K21" si="1">L5*0.75</f>
        <v>19500</v>
      </c>
      <c r="L5" s="80">
        <v>26000</v>
      </c>
      <c r="M5" s="81">
        <f t="shared" ref="M5:M21" si="2">L5*1.5</f>
        <v>39000</v>
      </c>
      <c r="N5" s="82"/>
      <c r="O5" s="83">
        <v>1</v>
      </c>
      <c r="P5" s="14" t="s">
        <v>63</v>
      </c>
      <c r="Q5" s="146" t="s">
        <v>64</v>
      </c>
      <c r="R5" s="147"/>
      <c r="S5" s="148"/>
      <c r="T5" s="18">
        <v>7.25</v>
      </c>
      <c r="U5" s="19">
        <f>ROUND(X5/2080,2)</f>
        <v>12.5</v>
      </c>
      <c r="V5" s="19">
        <f>ROUND(Y5/2080,2)</f>
        <v>18.75</v>
      </c>
      <c r="W5" s="20">
        <f>X5*0.75</f>
        <v>19500</v>
      </c>
      <c r="X5" s="21">
        <v>26000</v>
      </c>
      <c r="Y5" s="84">
        <f>X5*1.5</f>
        <v>39000</v>
      </c>
    </row>
    <row r="6" spans="1:25" ht="15.75" thickBot="1" x14ac:dyDescent="0.3">
      <c r="A6"/>
      <c r="B6"/>
      <c r="C6" s="72">
        <v>2</v>
      </c>
      <c r="D6" s="72" t="s">
        <v>65</v>
      </c>
      <c r="E6" s="73">
        <v>110</v>
      </c>
      <c r="F6" s="74">
        <v>119</v>
      </c>
      <c r="G6" s="75">
        <v>130</v>
      </c>
      <c r="H6" s="76">
        <f t="shared" ref="H6:H21" si="3">ROUND(K6/2080,2)</f>
        <v>11</v>
      </c>
      <c r="I6" s="77">
        <f t="shared" si="0"/>
        <v>14.66</v>
      </c>
      <c r="J6" s="78">
        <f t="shared" si="0"/>
        <v>22</v>
      </c>
      <c r="K6" s="79">
        <f t="shared" si="1"/>
        <v>22875</v>
      </c>
      <c r="L6" s="80">
        <v>30500</v>
      </c>
      <c r="M6" s="81">
        <f t="shared" si="2"/>
        <v>45750</v>
      </c>
      <c r="N6" s="85"/>
      <c r="O6" s="83">
        <v>2</v>
      </c>
      <c r="P6" s="14" t="s">
        <v>65</v>
      </c>
      <c r="Q6" s="15">
        <v>110</v>
      </c>
      <c r="R6" s="16">
        <v>119</v>
      </c>
      <c r="S6" s="17">
        <v>130</v>
      </c>
      <c r="T6" s="18">
        <f>ROUND(W6/2080,2)</f>
        <v>11</v>
      </c>
      <c r="U6" s="19">
        <f t="shared" ref="U6:V21" si="4">ROUND(X6/2080,2)</f>
        <v>14.66</v>
      </c>
      <c r="V6" s="19">
        <f t="shared" si="4"/>
        <v>22</v>
      </c>
      <c r="W6" s="20">
        <f t="shared" ref="W6:W19" si="5">X6*0.75</f>
        <v>22875</v>
      </c>
      <c r="X6" s="21">
        <v>30500</v>
      </c>
      <c r="Y6" s="84">
        <f t="shared" ref="Y6:Y19" si="6">X6*1.5</f>
        <v>45750</v>
      </c>
    </row>
    <row r="7" spans="1:25" x14ac:dyDescent="0.25">
      <c r="A7"/>
      <c r="B7"/>
      <c r="C7" s="72">
        <v>3</v>
      </c>
      <c r="D7" s="72" t="s">
        <v>66</v>
      </c>
      <c r="E7" s="73">
        <v>131</v>
      </c>
      <c r="F7" s="74">
        <v>142</v>
      </c>
      <c r="G7" s="75">
        <v>154</v>
      </c>
      <c r="H7" s="76">
        <f t="shared" si="3"/>
        <v>12.26</v>
      </c>
      <c r="I7" s="77">
        <f t="shared" si="0"/>
        <v>16.350000000000001</v>
      </c>
      <c r="J7" s="78">
        <f t="shared" si="0"/>
        <v>24.52</v>
      </c>
      <c r="K7" s="79">
        <f t="shared" si="1"/>
        <v>25500</v>
      </c>
      <c r="L7" s="80">
        <v>34000</v>
      </c>
      <c r="M7" s="81">
        <f t="shared" si="2"/>
        <v>51000</v>
      </c>
      <c r="N7" s="86"/>
      <c r="O7" s="83">
        <v>3</v>
      </c>
      <c r="P7" s="14" t="s">
        <v>66</v>
      </c>
      <c r="Q7" s="15">
        <v>131</v>
      </c>
      <c r="R7" s="16">
        <v>142</v>
      </c>
      <c r="S7" s="17">
        <v>154</v>
      </c>
      <c r="T7" s="18">
        <f t="shared" ref="T7:T21" si="7">ROUND(W7/2080,2)</f>
        <v>12.26</v>
      </c>
      <c r="U7" s="19">
        <f t="shared" si="4"/>
        <v>16.350000000000001</v>
      </c>
      <c r="V7" s="19">
        <f t="shared" si="4"/>
        <v>24.52</v>
      </c>
      <c r="W7" s="20">
        <f t="shared" si="5"/>
        <v>25500</v>
      </c>
      <c r="X7" s="21">
        <v>34000</v>
      </c>
      <c r="Y7" s="84">
        <f t="shared" si="6"/>
        <v>51000</v>
      </c>
    </row>
    <row r="8" spans="1:25" x14ac:dyDescent="0.25">
      <c r="A8"/>
      <c r="B8"/>
      <c r="C8" s="72">
        <v>4</v>
      </c>
      <c r="D8" s="72" t="s">
        <v>67</v>
      </c>
      <c r="E8" s="73">
        <v>155</v>
      </c>
      <c r="F8" s="74">
        <v>169</v>
      </c>
      <c r="G8" s="75">
        <v>184</v>
      </c>
      <c r="H8" s="76">
        <f t="shared" si="3"/>
        <v>13.77</v>
      </c>
      <c r="I8" s="77">
        <f t="shared" si="0"/>
        <v>18.37</v>
      </c>
      <c r="J8" s="78">
        <f t="shared" si="0"/>
        <v>27.55</v>
      </c>
      <c r="K8" s="79">
        <f t="shared" si="1"/>
        <v>28650</v>
      </c>
      <c r="L8" s="80">
        <v>38200</v>
      </c>
      <c r="M8" s="81">
        <f t="shared" si="2"/>
        <v>57300</v>
      </c>
      <c r="N8" s="62"/>
      <c r="O8" s="83">
        <v>4</v>
      </c>
      <c r="P8" s="14" t="s">
        <v>67</v>
      </c>
      <c r="Q8" s="15">
        <v>155</v>
      </c>
      <c r="R8" s="16">
        <v>169</v>
      </c>
      <c r="S8" s="17">
        <v>184</v>
      </c>
      <c r="T8" s="18">
        <f t="shared" si="7"/>
        <v>13.77</v>
      </c>
      <c r="U8" s="19">
        <f t="shared" si="4"/>
        <v>18.37</v>
      </c>
      <c r="V8" s="19">
        <f t="shared" si="4"/>
        <v>27.55</v>
      </c>
      <c r="W8" s="20">
        <f t="shared" si="5"/>
        <v>28650</v>
      </c>
      <c r="X8" s="21">
        <v>38200</v>
      </c>
      <c r="Y8" s="84">
        <f t="shared" si="6"/>
        <v>57300</v>
      </c>
    </row>
    <row r="9" spans="1:25" x14ac:dyDescent="0.25">
      <c r="A9"/>
      <c r="B9"/>
      <c r="C9" s="72">
        <v>5</v>
      </c>
      <c r="D9" s="72" t="s">
        <v>68</v>
      </c>
      <c r="E9" s="73">
        <v>185</v>
      </c>
      <c r="F9" s="74">
        <v>201</v>
      </c>
      <c r="G9" s="75">
        <v>219</v>
      </c>
      <c r="H9" s="76">
        <f t="shared" si="3"/>
        <v>15.65</v>
      </c>
      <c r="I9" s="77">
        <f t="shared" si="0"/>
        <v>20.87</v>
      </c>
      <c r="J9" s="78">
        <f t="shared" si="0"/>
        <v>31.3</v>
      </c>
      <c r="K9" s="79">
        <f t="shared" si="1"/>
        <v>32550</v>
      </c>
      <c r="L9" s="80">
        <v>43400</v>
      </c>
      <c r="M9" s="81">
        <f t="shared" si="2"/>
        <v>65100</v>
      </c>
      <c r="N9" s="62"/>
      <c r="O9" s="83">
        <v>5</v>
      </c>
      <c r="P9" s="14" t="s">
        <v>68</v>
      </c>
      <c r="Q9" s="15">
        <v>185</v>
      </c>
      <c r="R9" s="16">
        <v>201</v>
      </c>
      <c r="S9" s="17">
        <v>219</v>
      </c>
      <c r="T9" s="18">
        <f t="shared" si="7"/>
        <v>15.65</v>
      </c>
      <c r="U9" s="19">
        <f t="shared" si="4"/>
        <v>20.87</v>
      </c>
      <c r="V9" s="19">
        <f t="shared" si="4"/>
        <v>31.3</v>
      </c>
      <c r="W9" s="20">
        <f t="shared" si="5"/>
        <v>32550</v>
      </c>
      <c r="X9" s="21">
        <v>43400</v>
      </c>
      <c r="Y9" s="84">
        <f t="shared" si="6"/>
        <v>65100</v>
      </c>
    </row>
    <row r="10" spans="1:25" x14ac:dyDescent="0.25">
      <c r="A10"/>
      <c r="B10"/>
      <c r="C10" s="72">
        <v>6</v>
      </c>
      <c r="D10" s="72" t="s">
        <v>69</v>
      </c>
      <c r="E10" s="73">
        <v>220</v>
      </c>
      <c r="F10" s="74">
        <v>240</v>
      </c>
      <c r="G10" s="75">
        <v>262</v>
      </c>
      <c r="H10" s="76">
        <f t="shared" si="3"/>
        <v>17.850000000000001</v>
      </c>
      <c r="I10" s="77">
        <f t="shared" si="0"/>
        <v>23.8</v>
      </c>
      <c r="J10" s="78">
        <f t="shared" si="0"/>
        <v>35.700000000000003</v>
      </c>
      <c r="K10" s="79">
        <f t="shared" si="1"/>
        <v>37125</v>
      </c>
      <c r="L10" s="80">
        <v>49500</v>
      </c>
      <c r="M10" s="81">
        <f t="shared" si="2"/>
        <v>74250</v>
      </c>
      <c r="N10" s="62"/>
      <c r="O10" s="83">
        <v>6</v>
      </c>
      <c r="P10" s="14" t="s">
        <v>69</v>
      </c>
      <c r="Q10" s="15">
        <v>220</v>
      </c>
      <c r="R10" s="16">
        <v>240</v>
      </c>
      <c r="S10" s="17">
        <v>262</v>
      </c>
      <c r="T10" s="18">
        <f t="shared" si="7"/>
        <v>17.850000000000001</v>
      </c>
      <c r="U10" s="19">
        <f t="shared" si="4"/>
        <v>23.8</v>
      </c>
      <c r="V10" s="19">
        <f t="shared" si="4"/>
        <v>35.700000000000003</v>
      </c>
      <c r="W10" s="20">
        <f t="shared" si="5"/>
        <v>37125</v>
      </c>
      <c r="X10" s="21">
        <v>49500</v>
      </c>
      <c r="Y10" s="84">
        <f t="shared" si="6"/>
        <v>74250</v>
      </c>
    </row>
    <row r="11" spans="1:25" x14ac:dyDescent="0.25">
      <c r="A11"/>
      <c r="B11"/>
      <c r="C11" s="72">
        <v>7</v>
      </c>
      <c r="D11" s="72" t="s">
        <v>70</v>
      </c>
      <c r="E11" s="73">
        <v>263</v>
      </c>
      <c r="F11" s="74">
        <v>286</v>
      </c>
      <c r="G11" s="75">
        <v>312</v>
      </c>
      <c r="H11" s="76">
        <f t="shared" si="3"/>
        <v>20.079999999999998</v>
      </c>
      <c r="I11" s="77">
        <f t="shared" si="0"/>
        <v>26.78</v>
      </c>
      <c r="J11" s="78">
        <f t="shared" si="0"/>
        <v>40.17</v>
      </c>
      <c r="K11" s="79">
        <f t="shared" si="1"/>
        <v>41775</v>
      </c>
      <c r="L11" s="80">
        <v>55700</v>
      </c>
      <c r="M11" s="81">
        <f t="shared" si="2"/>
        <v>83550</v>
      </c>
      <c r="N11" s="62"/>
      <c r="O11" s="83">
        <v>7</v>
      </c>
      <c r="P11" s="14" t="s">
        <v>70</v>
      </c>
      <c r="Q11" s="15">
        <v>263</v>
      </c>
      <c r="R11" s="16">
        <v>286</v>
      </c>
      <c r="S11" s="17">
        <v>312</v>
      </c>
      <c r="T11" s="18">
        <f t="shared" si="7"/>
        <v>20.079999999999998</v>
      </c>
      <c r="U11" s="19">
        <f t="shared" si="4"/>
        <v>26.78</v>
      </c>
      <c r="V11" s="19">
        <f t="shared" si="4"/>
        <v>40.17</v>
      </c>
      <c r="W11" s="20">
        <f t="shared" si="5"/>
        <v>41775</v>
      </c>
      <c r="X11" s="21">
        <v>55700</v>
      </c>
      <c r="Y11" s="84">
        <f t="shared" si="6"/>
        <v>83550</v>
      </c>
    </row>
    <row r="12" spans="1:25" x14ac:dyDescent="0.25">
      <c r="A12"/>
      <c r="B12"/>
      <c r="C12" s="72">
        <v>8</v>
      </c>
      <c r="D12" s="72" t="s">
        <v>71</v>
      </c>
      <c r="E12" s="73">
        <v>313</v>
      </c>
      <c r="F12" s="74">
        <v>341</v>
      </c>
      <c r="G12" s="75">
        <v>372</v>
      </c>
      <c r="H12" s="76">
        <f t="shared" si="3"/>
        <v>22.75</v>
      </c>
      <c r="I12" s="77">
        <f t="shared" si="0"/>
        <v>30.34</v>
      </c>
      <c r="J12" s="78">
        <f t="shared" si="0"/>
        <v>45.5</v>
      </c>
      <c r="K12" s="79">
        <f t="shared" si="1"/>
        <v>47325</v>
      </c>
      <c r="L12" s="80">
        <v>63100</v>
      </c>
      <c r="M12" s="81">
        <f t="shared" si="2"/>
        <v>94650</v>
      </c>
      <c r="N12" s="62"/>
      <c r="O12" s="83">
        <v>8</v>
      </c>
      <c r="P12" s="14" t="s">
        <v>71</v>
      </c>
      <c r="Q12" s="15">
        <v>313</v>
      </c>
      <c r="R12" s="16">
        <v>341</v>
      </c>
      <c r="S12" s="17">
        <v>372</v>
      </c>
      <c r="T12" s="18">
        <f t="shared" si="7"/>
        <v>23.51</v>
      </c>
      <c r="U12" s="19">
        <f t="shared" si="4"/>
        <v>31.35</v>
      </c>
      <c r="V12" s="19">
        <f t="shared" si="4"/>
        <v>47.02</v>
      </c>
      <c r="W12" s="20">
        <f t="shared" si="5"/>
        <v>48900</v>
      </c>
      <c r="X12" s="21">
        <v>65200</v>
      </c>
      <c r="Y12" s="84">
        <f t="shared" si="6"/>
        <v>97800</v>
      </c>
    </row>
    <row r="13" spans="1:25" x14ac:dyDescent="0.25">
      <c r="A13"/>
      <c r="B13"/>
      <c r="C13" s="72">
        <v>9</v>
      </c>
      <c r="D13" s="72" t="s">
        <v>72</v>
      </c>
      <c r="E13" s="73">
        <v>373</v>
      </c>
      <c r="F13" s="74">
        <v>406</v>
      </c>
      <c r="G13" s="75">
        <v>443</v>
      </c>
      <c r="H13" s="76">
        <f t="shared" si="3"/>
        <v>25.96</v>
      </c>
      <c r="I13" s="77">
        <f t="shared" si="0"/>
        <v>34.619999999999997</v>
      </c>
      <c r="J13" s="78">
        <f t="shared" si="0"/>
        <v>51.92</v>
      </c>
      <c r="K13" s="79">
        <f t="shared" si="1"/>
        <v>54000</v>
      </c>
      <c r="L13" s="80">
        <v>72000</v>
      </c>
      <c r="M13" s="81">
        <f t="shared" si="2"/>
        <v>108000</v>
      </c>
      <c r="N13" s="62"/>
      <c r="O13" s="83">
        <v>9</v>
      </c>
      <c r="P13" s="14" t="s">
        <v>72</v>
      </c>
      <c r="Q13" s="15">
        <v>373</v>
      </c>
      <c r="R13" s="16">
        <v>406</v>
      </c>
      <c r="S13" s="17">
        <v>443</v>
      </c>
      <c r="T13" s="18">
        <f t="shared" si="7"/>
        <v>27.62</v>
      </c>
      <c r="U13" s="19">
        <f t="shared" si="4"/>
        <v>36.83</v>
      </c>
      <c r="V13" s="19">
        <f t="shared" si="4"/>
        <v>55.24</v>
      </c>
      <c r="W13" s="20">
        <f t="shared" si="5"/>
        <v>57450</v>
      </c>
      <c r="X13" s="21">
        <v>76600</v>
      </c>
      <c r="Y13" s="84">
        <f t="shared" si="6"/>
        <v>114900</v>
      </c>
    </row>
    <row r="14" spans="1:25" x14ac:dyDescent="0.25">
      <c r="A14"/>
      <c r="B14"/>
      <c r="C14" s="72">
        <v>10</v>
      </c>
      <c r="D14" s="72" t="s">
        <v>73</v>
      </c>
      <c r="E14" s="73">
        <v>444</v>
      </c>
      <c r="F14" s="74">
        <v>485</v>
      </c>
      <c r="G14" s="75">
        <v>528</v>
      </c>
      <c r="H14" s="76">
        <f t="shared" si="3"/>
        <v>29.75</v>
      </c>
      <c r="I14" s="77">
        <f t="shared" si="0"/>
        <v>39.659999999999997</v>
      </c>
      <c r="J14" s="78">
        <f t="shared" si="0"/>
        <v>59.5</v>
      </c>
      <c r="K14" s="79">
        <f t="shared" si="1"/>
        <v>61875</v>
      </c>
      <c r="L14" s="80">
        <v>82500</v>
      </c>
      <c r="M14" s="81">
        <f t="shared" si="2"/>
        <v>123750</v>
      </c>
      <c r="N14" s="62"/>
      <c r="O14" s="83">
        <v>10</v>
      </c>
      <c r="P14" s="14" t="s">
        <v>73</v>
      </c>
      <c r="Q14" s="15">
        <v>444</v>
      </c>
      <c r="R14" s="16">
        <v>485</v>
      </c>
      <c r="S14" s="17">
        <v>528</v>
      </c>
      <c r="T14" s="18">
        <f t="shared" si="7"/>
        <v>32.450000000000003</v>
      </c>
      <c r="U14" s="19">
        <f t="shared" si="4"/>
        <v>43.27</v>
      </c>
      <c r="V14" s="19">
        <f t="shared" si="4"/>
        <v>64.900000000000006</v>
      </c>
      <c r="W14" s="20">
        <f t="shared" si="5"/>
        <v>67500</v>
      </c>
      <c r="X14" s="21">
        <v>90000</v>
      </c>
      <c r="Y14" s="84">
        <f t="shared" si="6"/>
        <v>135000</v>
      </c>
    </row>
    <row r="15" spans="1:25" x14ac:dyDescent="0.25">
      <c r="A15"/>
      <c r="B15"/>
      <c r="C15" s="72">
        <v>11</v>
      </c>
      <c r="D15" s="72" t="s">
        <v>74</v>
      </c>
      <c r="E15" s="73">
        <v>529</v>
      </c>
      <c r="F15" s="74">
        <v>578</v>
      </c>
      <c r="G15" s="75">
        <v>630</v>
      </c>
      <c r="H15" s="76">
        <f t="shared" si="3"/>
        <v>34.25</v>
      </c>
      <c r="I15" s="77">
        <f t="shared" si="0"/>
        <v>45.67</v>
      </c>
      <c r="J15" s="78">
        <f t="shared" si="0"/>
        <v>68.510000000000005</v>
      </c>
      <c r="K15" s="79">
        <f t="shared" si="1"/>
        <v>71250</v>
      </c>
      <c r="L15" s="80">
        <v>95000</v>
      </c>
      <c r="M15" s="81">
        <f t="shared" si="2"/>
        <v>142500</v>
      </c>
      <c r="N15" s="62"/>
      <c r="O15" s="83">
        <v>11</v>
      </c>
      <c r="P15" s="14" t="s">
        <v>74</v>
      </c>
      <c r="Q15" s="15">
        <v>529</v>
      </c>
      <c r="R15" s="16">
        <v>578</v>
      </c>
      <c r="S15" s="17">
        <v>630</v>
      </c>
      <c r="T15" s="18">
        <f t="shared" si="7"/>
        <v>35.99</v>
      </c>
      <c r="U15" s="19">
        <f t="shared" si="4"/>
        <v>47.98</v>
      </c>
      <c r="V15" s="19">
        <f t="shared" si="4"/>
        <v>71.97</v>
      </c>
      <c r="W15" s="20">
        <f t="shared" si="5"/>
        <v>74850</v>
      </c>
      <c r="X15" s="21">
        <v>99800</v>
      </c>
      <c r="Y15" s="84">
        <f t="shared" si="6"/>
        <v>149700</v>
      </c>
    </row>
    <row r="16" spans="1:25" x14ac:dyDescent="0.25">
      <c r="A16"/>
      <c r="B16"/>
      <c r="C16" s="72">
        <v>12</v>
      </c>
      <c r="D16" s="72" t="s">
        <v>75</v>
      </c>
      <c r="E16" s="73">
        <v>631</v>
      </c>
      <c r="F16" s="74">
        <v>688</v>
      </c>
      <c r="G16" s="75">
        <v>750</v>
      </c>
      <c r="H16" s="76">
        <f t="shared" si="3"/>
        <v>38.51</v>
      </c>
      <c r="I16" s="77">
        <f t="shared" si="0"/>
        <v>51.35</v>
      </c>
      <c r="J16" s="78">
        <f t="shared" si="0"/>
        <v>77.02</v>
      </c>
      <c r="K16" s="79">
        <f t="shared" si="1"/>
        <v>80100</v>
      </c>
      <c r="L16" s="80">
        <v>106800</v>
      </c>
      <c r="M16" s="81">
        <f t="shared" si="2"/>
        <v>160200</v>
      </c>
      <c r="N16" s="62"/>
      <c r="O16" s="83">
        <v>12</v>
      </c>
      <c r="P16" s="14" t="s">
        <v>75</v>
      </c>
      <c r="Q16" s="15">
        <v>631</v>
      </c>
      <c r="R16" s="16">
        <v>688</v>
      </c>
      <c r="S16" s="17">
        <v>750</v>
      </c>
      <c r="T16" s="18">
        <f t="shared" si="7"/>
        <v>39.450000000000003</v>
      </c>
      <c r="U16" s="19">
        <f t="shared" si="4"/>
        <v>52.6</v>
      </c>
      <c r="V16" s="19">
        <f t="shared" si="4"/>
        <v>78.89</v>
      </c>
      <c r="W16" s="20">
        <f t="shared" si="5"/>
        <v>82050</v>
      </c>
      <c r="X16" s="21">
        <v>109400</v>
      </c>
      <c r="Y16" s="84">
        <f t="shared" si="6"/>
        <v>164100</v>
      </c>
    </row>
    <row r="17" spans="1:25" x14ac:dyDescent="0.25">
      <c r="A17"/>
      <c r="B17"/>
      <c r="C17" s="72">
        <v>13</v>
      </c>
      <c r="D17" s="72" t="s">
        <v>76</v>
      </c>
      <c r="E17" s="73">
        <v>751</v>
      </c>
      <c r="F17" s="74">
        <v>828</v>
      </c>
      <c r="G17" s="75">
        <f>ROUND(F17*1.092,0)</f>
        <v>904</v>
      </c>
      <c r="H17" s="76">
        <f t="shared" si="3"/>
        <v>43.74</v>
      </c>
      <c r="I17" s="77">
        <f t="shared" si="0"/>
        <v>58.32</v>
      </c>
      <c r="J17" s="78">
        <f t="shared" si="0"/>
        <v>87.48</v>
      </c>
      <c r="K17" s="79">
        <f t="shared" si="1"/>
        <v>90975</v>
      </c>
      <c r="L17" s="80">
        <v>121300</v>
      </c>
      <c r="M17" s="81">
        <f t="shared" si="2"/>
        <v>181950</v>
      </c>
      <c r="N17" s="62"/>
      <c r="O17" s="83">
        <v>13</v>
      </c>
      <c r="P17" s="14" t="s">
        <v>76</v>
      </c>
      <c r="Q17" s="15">
        <v>751</v>
      </c>
      <c r="R17" s="16">
        <v>828</v>
      </c>
      <c r="S17" s="17">
        <f>ROUND(R17*1.092,0)</f>
        <v>904</v>
      </c>
      <c r="T17" s="18">
        <f t="shared" si="7"/>
        <v>43.74</v>
      </c>
      <c r="U17" s="19">
        <f t="shared" si="4"/>
        <v>58.32</v>
      </c>
      <c r="V17" s="19">
        <f t="shared" si="4"/>
        <v>87.48</v>
      </c>
      <c r="W17" s="20">
        <f t="shared" si="5"/>
        <v>90975</v>
      </c>
      <c r="X17" s="21">
        <v>121300</v>
      </c>
      <c r="Y17" s="84">
        <f t="shared" si="6"/>
        <v>181950</v>
      </c>
    </row>
    <row r="18" spans="1:25" x14ac:dyDescent="0.25">
      <c r="A18"/>
      <c r="B18"/>
      <c r="C18" s="72">
        <v>14</v>
      </c>
      <c r="D18" s="72" t="s">
        <v>77</v>
      </c>
      <c r="E18" s="73">
        <v>905</v>
      </c>
      <c r="F18" s="74">
        <v>998</v>
      </c>
      <c r="G18" s="75">
        <f>ROUND(F18*1.0925,0)</f>
        <v>1090</v>
      </c>
      <c r="H18" s="76">
        <f t="shared" si="3"/>
        <v>50.26</v>
      </c>
      <c r="I18" s="77">
        <f t="shared" si="0"/>
        <v>67.02</v>
      </c>
      <c r="J18" s="78">
        <f t="shared" si="0"/>
        <v>100.53</v>
      </c>
      <c r="K18" s="79">
        <f t="shared" si="1"/>
        <v>104550</v>
      </c>
      <c r="L18" s="80">
        <v>139400</v>
      </c>
      <c r="M18" s="81">
        <f t="shared" si="2"/>
        <v>209100</v>
      </c>
      <c r="N18" s="62"/>
      <c r="O18" s="83">
        <v>14</v>
      </c>
      <c r="P18" s="14" t="s">
        <v>77</v>
      </c>
      <c r="Q18" s="15">
        <v>905</v>
      </c>
      <c r="R18" s="16">
        <v>998</v>
      </c>
      <c r="S18" s="17">
        <f>ROUND(R18*1.0925,0)</f>
        <v>1090</v>
      </c>
      <c r="T18" s="18">
        <f t="shared" si="7"/>
        <v>46.88</v>
      </c>
      <c r="U18" s="19">
        <f t="shared" si="4"/>
        <v>62.5</v>
      </c>
      <c r="V18" s="19">
        <f t="shared" si="4"/>
        <v>93.75</v>
      </c>
      <c r="W18" s="20">
        <f t="shared" si="5"/>
        <v>97500</v>
      </c>
      <c r="X18" s="21">
        <v>130000</v>
      </c>
      <c r="Y18" s="84">
        <f t="shared" si="6"/>
        <v>195000</v>
      </c>
    </row>
    <row r="19" spans="1:25" x14ac:dyDescent="0.25">
      <c r="A19"/>
      <c r="B19"/>
      <c r="C19" s="72">
        <v>15</v>
      </c>
      <c r="D19" s="72" t="s">
        <v>78</v>
      </c>
      <c r="E19" s="73">
        <f>G18+1</f>
        <v>1091</v>
      </c>
      <c r="F19" s="74">
        <v>1176</v>
      </c>
      <c r="G19" s="75">
        <v>1292</v>
      </c>
      <c r="H19" s="76">
        <f t="shared" si="3"/>
        <v>57.69</v>
      </c>
      <c r="I19" s="77">
        <f t="shared" si="0"/>
        <v>76.92</v>
      </c>
      <c r="J19" s="78">
        <f t="shared" si="0"/>
        <v>115.38</v>
      </c>
      <c r="K19" s="79">
        <f t="shared" si="1"/>
        <v>120000</v>
      </c>
      <c r="L19" s="80">
        <v>160000</v>
      </c>
      <c r="M19" s="81">
        <f t="shared" si="2"/>
        <v>240000</v>
      </c>
      <c r="N19" s="62"/>
      <c r="O19" s="83">
        <v>15</v>
      </c>
      <c r="P19" s="14" t="s">
        <v>78</v>
      </c>
      <c r="Q19" s="15">
        <f>S18+1</f>
        <v>1091</v>
      </c>
      <c r="R19" s="16">
        <v>1176</v>
      </c>
      <c r="S19" s="17">
        <v>1292</v>
      </c>
      <c r="T19" s="18">
        <f t="shared" si="7"/>
        <v>57.69</v>
      </c>
      <c r="U19" s="19">
        <f t="shared" si="4"/>
        <v>76.92</v>
      </c>
      <c r="V19" s="19">
        <f t="shared" si="4"/>
        <v>115.38</v>
      </c>
      <c r="W19" s="20">
        <f t="shared" si="5"/>
        <v>120000</v>
      </c>
      <c r="X19" s="21">
        <v>160000</v>
      </c>
      <c r="Y19" s="84">
        <f t="shared" si="6"/>
        <v>240000</v>
      </c>
    </row>
    <row r="20" spans="1:25" x14ac:dyDescent="0.25">
      <c r="A20"/>
      <c r="B20"/>
      <c r="C20" s="72">
        <v>17</v>
      </c>
      <c r="D20" s="72" t="s">
        <v>79</v>
      </c>
      <c r="E20" s="73">
        <v>1532</v>
      </c>
      <c r="F20" s="74">
        <v>1665</v>
      </c>
      <c r="G20" s="75">
        <f>ROUND(F20*1.094,0)</f>
        <v>1822</v>
      </c>
      <c r="H20" s="76">
        <f t="shared" si="3"/>
        <v>66.709999999999994</v>
      </c>
      <c r="I20" s="77">
        <f t="shared" si="0"/>
        <v>88.94</v>
      </c>
      <c r="J20" s="78">
        <f t="shared" si="0"/>
        <v>133.41</v>
      </c>
      <c r="K20" s="79">
        <f t="shared" si="1"/>
        <v>138750</v>
      </c>
      <c r="L20" s="80">
        <v>185000</v>
      </c>
      <c r="M20" s="81">
        <f t="shared" si="2"/>
        <v>277500</v>
      </c>
      <c r="N20" s="62"/>
      <c r="O20" s="83">
        <v>17</v>
      </c>
      <c r="P20" s="14" t="s">
        <v>79</v>
      </c>
      <c r="Q20" s="15">
        <v>1532</v>
      </c>
      <c r="R20" s="16">
        <v>1665</v>
      </c>
      <c r="S20" s="17">
        <f>ROUND(R20*1.094,0)</f>
        <v>1822</v>
      </c>
      <c r="T20" s="18">
        <f t="shared" si="7"/>
        <v>66.709999999999994</v>
      </c>
      <c r="U20" s="19">
        <f t="shared" si="4"/>
        <v>88.94</v>
      </c>
      <c r="V20" s="19">
        <f t="shared" si="4"/>
        <v>133.41</v>
      </c>
      <c r="W20" s="20">
        <f>X20*0.75</f>
        <v>138750</v>
      </c>
      <c r="X20" s="21">
        <v>185000</v>
      </c>
      <c r="Y20" s="84">
        <f>X20*1.5</f>
        <v>277500</v>
      </c>
    </row>
    <row r="21" spans="1:25" ht="15.75" thickBot="1" x14ac:dyDescent="0.3">
      <c r="A21"/>
      <c r="B21"/>
      <c r="C21" s="87">
        <v>19</v>
      </c>
      <c r="D21" s="87" t="s">
        <v>80</v>
      </c>
      <c r="E21" s="88">
        <v>2167</v>
      </c>
      <c r="F21" s="89">
        <v>2354</v>
      </c>
      <c r="G21" s="90">
        <f>ROUND(F21*1.094,0)</f>
        <v>2575</v>
      </c>
      <c r="H21" s="91">
        <f t="shared" si="3"/>
        <v>81.13</v>
      </c>
      <c r="I21" s="92">
        <f t="shared" si="0"/>
        <v>108.17</v>
      </c>
      <c r="J21" s="93">
        <f t="shared" si="0"/>
        <v>162.26</v>
      </c>
      <c r="K21" s="94">
        <f t="shared" si="1"/>
        <v>168750</v>
      </c>
      <c r="L21" s="95">
        <v>225000</v>
      </c>
      <c r="M21" s="96">
        <f t="shared" si="2"/>
        <v>337500</v>
      </c>
      <c r="N21" s="62"/>
      <c r="O21" s="97">
        <v>19</v>
      </c>
      <c r="P21" s="98" t="s">
        <v>80</v>
      </c>
      <c r="Q21" s="99">
        <v>2167</v>
      </c>
      <c r="R21" s="100">
        <v>2354</v>
      </c>
      <c r="S21" s="101">
        <f>ROUND(R21*1.094,0)</f>
        <v>2575</v>
      </c>
      <c r="T21" s="102">
        <f t="shared" si="7"/>
        <v>81.13</v>
      </c>
      <c r="U21" s="103">
        <f t="shared" si="4"/>
        <v>108.17</v>
      </c>
      <c r="V21" s="104">
        <f>ROUND(Y21/2080,2)</f>
        <v>162.26</v>
      </c>
      <c r="W21" s="105">
        <f>X21*0.75</f>
        <v>168750</v>
      </c>
      <c r="X21" s="106">
        <v>225000</v>
      </c>
      <c r="Y21" s="107">
        <f>X21*1.5</f>
        <v>337500</v>
      </c>
    </row>
    <row r="22" spans="1:25" x14ac:dyDescent="0.25">
      <c r="A22" s="108"/>
      <c r="B22" s="108"/>
      <c r="C22" s="108"/>
      <c r="D22" s="108"/>
      <c r="E22" s="108"/>
      <c r="F22" s="108"/>
      <c r="G22" s="108"/>
      <c r="H22" s="108"/>
      <c r="I22" s="108"/>
      <c r="J22" s="108"/>
      <c r="K22" s="108"/>
      <c r="L22" s="108"/>
      <c r="M22" s="108"/>
    </row>
    <row r="24" spans="1:25" ht="15.75" thickBot="1" x14ac:dyDescent="0.3"/>
    <row r="25" spans="1:25" ht="20.100000000000001" customHeight="1" thickBot="1" x14ac:dyDescent="0.3">
      <c r="B25"/>
      <c r="C25" s="55" t="s">
        <v>126</v>
      </c>
      <c r="D25" s="55"/>
      <c r="E25" s="55"/>
      <c r="F25" s="56"/>
      <c r="G25" s="56"/>
      <c r="H25" s="56"/>
      <c r="I25" s="56"/>
      <c r="J25" s="56"/>
      <c r="K25" s="56"/>
      <c r="L25" s="56"/>
      <c r="M25" s="56"/>
      <c r="O25" s="55" t="s">
        <v>127</v>
      </c>
      <c r="P25" s="55"/>
      <c r="Q25" s="55"/>
      <c r="R25" s="55"/>
      <c r="S25" s="56"/>
      <c r="T25" s="56"/>
      <c r="U25" s="56"/>
      <c r="V25" s="56"/>
      <c r="W25" s="56"/>
      <c r="X25" s="56"/>
      <c r="Y25" s="56"/>
    </row>
    <row r="26" spans="1:25" ht="18.75" thickBot="1" x14ac:dyDescent="0.3">
      <c r="B26"/>
      <c r="C26" s="60"/>
      <c r="D26" s="61"/>
      <c r="E26" s="61"/>
      <c r="F26" s="61"/>
      <c r="G26" s="61"/>
      <c r="H26" s="61"/>
      <c r="I26" s="61"/>
      <c r="J26" s="61"/>
      <c r="K26" s="61"/>
      <c r="L26" s="61"/>
      <c r="M26" s="61"/>
      <c r="O26" s="60"/>
      <c r="P26" s="60"/>
      <c r="Q26" s="61"/>
      <c r="R26" s="61"/>
      <c r="S26" s="61"/>
      <c r="T26" s="61"/>
      <c r="U26" s="61"/>
      <c r="V26" s="61"/>
      <c r="W26" s="61"/>
      <c r="X26" s="61"/>
      <c r="Y26" s="61"/>
    </row>
    <row r="27" spans="1:25" x14ac:dyDescent="0.25">
      <c r="B27"/>
      <c r="C27" s="149" t="s">
        <v>52</v>
      </c>
      <c r="D27" s="151" t="s">
        <v>53</v>
      </c>
      <c r="E27" s="153" t="s">
        <v>54</v>
      </c>
      <c r="F27" s="155" t="s">
        <v>55</v>
      </c>
      <c r="G27" s="157" t="s">
        <v>56</v>
      </c>
      <c r="H27" s="141" t="s">
        <v>57</v>
      </c>
      <c r="I27" s="142"/>
      <c r="J27" s="143"/>
      <c r="K27" s="144" t="s">
        <v>58</v>
      </c>
      <c r="L27" s="142"/>
      <c r="M27" s="145"/>
      <c r="O27" s="149" t="s">
        <v>52</v>
      </c>
      <c r="P27" s="151" t="s">
        <v>53</v>
      </c>
      <c r="Q27" s="153" t="s">
        <v>54</v>
      </c>
      <c r="R27" s="155" t="s">
        <v>55</v>
      </c>
      <c r="S27" s="157" t="s">
        <v>56</v>
      </c>
      <c r="T27" s="141" t="s">
        <v>57</v>
      </c>
      <c r="U27" s="142"/>
      <c r="V27" s="143"/>
      <c r="W27" s="144" t="s">
        <v>58</v>
      </c>
      <c r="X27" s="142"/>
      <c r="Y27" s="145"/>
    </row>
    <row r="28" spans="1:25" ht="39" x14ac:dyDescent="0.25">
      <c r="B28"/>
      <c r="C28" s="150"/>
      <c r="D28" s="152"/>
      <c r="E28" s="154"/>
      <c r="F28" s="156"/>
      <c r="G28" s="158"/>
      <c r="H28" s="66" t="s">
        <v>59</v>
      </c>
      <c r="I28" s="67" t="s">
        <v>60</v>
      </c>
      <c r="J28" s="68" t="s">
        <v>61</v>
      </c>
      <c r="K28" s="69" t="s">
        <v>62</v>
      </c>
      <c r="L28" s="70" t="s">
        <v>60</v>
      </c>
      <c r="M28" s="71" t="s">
        <v>61</v>
      </c>
      <c r="O28" s="150"/>
      <c r="P28" s="152"/>
      <c r="Q28" s="154"/>
      <c r="R28" s="156"/>
      <c r="S28" s="158"/>
      <c r="T28" s="66" t="s">
        <v>59</v>
      </c>
      <c r="U28" s="67" t="s">
        <v>60</v>
      </c>
      <c r="V28" s="68" t="s">
        <v>61</v>
      </c>
      <c r="W28" s="69" t="s">
        <v>62</v>
      </c>
      <c r="X28" s="70" t="s">
        <v>60</v>
      </c>
      <c r="Y28" s="71" t="s">
        <v>61</v>
      </c>
    </row>
    <row r="29" spans="1:25" x14ac:dyDescent="0.25">
      <c r="B29"/>
      <c r="C29" s="83">
        <v>1</v>
      </c>
      <c r="D29" s="14" t="s">
        <v>63</v>
      </c>
      <c r="E29" s="146" t="s">
        <v>64</v>
      </c>
      <c r="F29" s="147"/>
      <c r="G29" s="148"/>
      <c r="H29" s="18">
        <v>7.25</v>
      </c>
      <c r="I29" s="19">
        <f>ROUND(L29/2080,2)</f>
        <v>12.5</v>
      </c>
      <c r="J29" s="19">
        <f>ROUND(M29/2080,2)</f>
        <v>18.75</v>
      </c>
      <c r="K29" s="20">
        <f>L29*0.75</f>
        <v>19500</v>
      </c>
      <c r="L29" s="21">
        <v>26000</v>
      </c>
      <c r="M29" s="84">
        <f>L29*1.5</f>
        <v>39000</v>
      </c>
      <c r="O29" s="83">
        <v>1</v>
      </c>
      <c r="P29" s="14" t="s">
        <v>63</v>
      </c>
      <c r="Q29" s="146" t="s">
        <v>64</v>
      </c>
      <c r="R29" s="147"/>
      <c r="S29" s="148"/>
      <c r="T29" s="18">
        <v>7.25</v>
      </c>
      <c r="U29" s="19">
        <f>ROUND(X29/2080,2)</f>
        <v>14.42</v>
      </c>
      <c r="V29" s="19">
        <f>ROUND(Y29/2080,2)</f>
        <v>21.63</v>
      </c>
      <c r="W29" s="20">
        <f>X29*0.75</f>
        <v>22500</v>
      </c>
      <c r="X29" s="21">
        <v>30000</v>
      </c>
      <c r="Y29" s="84">
        <f>X29*1.5</f>
        <v>45000</v>
      </c>
    </row>
    <row r="30" spans="1:25" x14ac:dyDescent="0.25">
      <c r="B30"/>
      <c r="C30" s="83">
        <v>2</v>
      </c>
      <c r="D30" s="14" t="s">
        <v>65</v>
      </c>
      <c r="E30" s="15">
        <v>110</v>
      </c>
      <c r="F30" s="16">
        <v>119</v>
      </c>
      <c r="G30" s="17">
        <v>130</v>
      </c>
      <c r="H30" s="18">
        <f>ROUND(K30/2080,2)</f>
        <v>11</v>
      </c>
      <c r="I30" s="19">
        <f t="shared" ref="I30:J45" si="8">ROUND(L30/2080,2)</f>
        <v>14.66</v>
      </c>
      <c r="J30" s="19">
        <f t="shared" si="8"/>
        <v>22</v>
      </c>
      <c r="K30" s="20">
        <f t="shared" ref="K30:K43" si="9">L30*0.75</f>
        <v>22875</v>
      </c>
      <c r="L30" s="21">
        <v>30500</v>
      </c>
      <c r="M30" s="84">
        <f t="shared" ref="M30:M43" si="10">L30*1.5</f>
        <v>45750</v>
      </c>
      <c r="O30" s="83">
        <v>2</v>
      </c>
      <c r="P30" s="14" t="s">
        <v>65</v>
      </c>
      <c r="Q30" s="15">
        <v>110</v>
      </c>
      <c r="R30" s="16">
        <v>119</v>
      </c>
      <c r="S30" s="17">
        <v>130</v>
      </c>
      <c r="T30" s="18">
        <f>ROUND(W30/2080,2)</f>
        <v>11</v>
      </c>
      <c r="U30" s="19">
        <f t="shared" ref="U30:V45" si="11">ROUND(X30/2080,2)</f>
        <v>14.66</v>
      </c>
      <c r="V30" s="19">
        <f t="shared" si="11"/>
        <v>22</v>
      </c>
      <c r="W30" s="20">
        <f t="shared" ref="W30:W43" si="12">X30*0.75</f>
        <v>22875</v>
      </c>
      <c r="X30" s="21">
        <v>30500</v>
      </c>
      <c r="Y30" s="84">
        <f t="shared" ref="Y30:Y43" si="13">X30*1.5</f>
        <v>45750</v>
      </c>
    </row>
    <row r="31" spans="1:25" x14ac:dyDescent="0.25">
      <c r="B31"/>
      <c r="C31" s="83">
        <v>3</v>
      </c>
      <c r="D31" s="14" t="s">
        <v>66</v>
      </c>
      <c r="E31" s="15">
        <v>131</v>
      </c>
      <c r="F31" s="16">
        <v>142</v>
      </c>
      <c r="G31" s="17">
        <v>154</v>
      </c>
      <c r="H31" s="18">
        <f t="shared" ref="H31:H45" si="14">ROUND(K31/2080,2)</f>
        <v>12.26</v>
      </c>
      <c r="I31" s="19">
        <f t="shared" si="8"/>
        <v>16.350000000000001</v>
      </c>
      <c r="J31" s="19">
        <f t="shared" si="8"/>
        <v>24.52</v>
      </c>
      <c r="K31" s="20">
        <f t="shared" si="9"/>
        <v>25500</v>
      </c>
      <c r="L31" s="21">
        <v>34000</v>
      </c>
      <c r="M31" s="84">
        <f t="shared" si="10"/>
        <v>51000</v>
      </c>
      <c r="O31" s="83">
        <v>3</v>
      </c>
      <c r="P31" s="14" t="s">
        <v>66</v>
      </c>
      <c r="Q31" s="15">
        <v>131</v>
      </c>
      <c r="R31" s="16">
        <v>142</v>
      </c>
      <c r="S31" s="17">
        <v>154</v>
      </c>
      <c r="T31" s="18">
        <f t="shared" ref="T31:T45" si="15">ROUND(W31/2080,2)</f>
        <v>12.26</v>
      </c>
      <c r="U31" s="19">
        <f t="shared" si="11"/>
        <v>16.350000000000001</v>
      </c>
      <c r="V31" s="19">
        <f t="shared" si="11"/>
        <v>24.52</v>
      </c>
      <c r="W31" s="20">
        <f t="shared" si="12"/>
        <v>25500</v>
      </c>
      <c r="X31" s="21">
        <v>34000</v>
      </c>
      <c r="Y31" s="84">
        <f t="shared" si="13"/>
        <v>51000</v>
      </c>
    </row>
    <row r="32" spans="1:25" x14ac:dyDescent="0.25">
      <c r="B32"/>
      <c r="C32" s="83">
        <v>4</v>
      </c>
      <c r="D32" s="14" t="s">
        <v>67</v>
      </c>
      <c r="E32" s="15">
        <v>155</v>
      </c>
      <c r="F32" s="16">
        <v>169</v>
      </c>
      <c r="G32" s="17">
        <v>184</v>
      </c>
      <c r="H32" s="18">
        <f t="shared" si="14"/>
        <v>13.77</v>
      </c>
      <c r="I32" s="19">
        <f t="shared" si="8"/>
        <v>18.37</v>
      </c>
      <c r="J32" s="19">
        <f t="shared" si="8"/>
        <v>27.55</v>
      </c>
      <c r="K32" s="20">
        <f t="shared" si="9"/>
        <v>28650</v>
      </c>
      <c r="L32" s="21">
        <v>38200</v>
      </c>
      <c r="M32" s="84">
        <f t="shared" si="10"/>
        <v>57300</v>
      </c>
      <c r="O32" s="83">
        <v>4</v>
      </c>
      <c r="P32" s="14" t="s">
        <v>67</v>
      </c>
      <c r="Q32" s="15">
        <v>155</v>
      </c>
      <c r="R32" s="16">
        <v>169</v>
      </c>
      <c r="S32" s="17">
        <v>184</v>
      </c>
      <c r="T32" s="18">
        <f t="shared" si="15"/>
        <v>13.77</v>
      </c>
      <c r="U32" s="19">
        <f t="shared" si="11"/>
        <v>18.37</v>
      </c>
      <c r="V32" s="19">
        <f t="shared" si="11"/>
        <v>27.55</v>
      </c>
      <c r="W32" s="20">
        <f t="shared" si="12"/>
        <v>28650</v>
      </c>
      <c r="X32" s="21">
        <v>38200</v>
      </c>
      <c r="Y32" s="84">
        <f t="shared" si="13"/>
        <v>57300</v>
      </c>
    </row>
    <row r="33" spans="2:25" x14ac:dyDescent="0.25">
      <c r="B33"/>
      <c r="C33" s="83">
        <v>5</v>
      </c>
      <c r="D33" s="14" t="s">
        <v>68</v>
      </c>
      <c r="E33" s="15">
        <v>185</v>
      </c>
      <c r="F33" s="16">
        <v>201</v>
      </c>
      <c r="G33" s="17">
        <v>219</v>
      </c>
      <c r="H33" s="18">
        <f t="shared" si="14"/>
        <v>17.96</v>
      </c>
      <c r="I33" s="19">
        <f t="shared" si="8"/>
        <v>23.94</v>
      </c>
      <c r="J33" s="19">
        <f t="shared" si="8"/>
        <v>35.909999999999997</v>
      </c>
      <c r="K33" s="20">
        <f t="shared" si="9"/>
        <v>37350</v>
      </c>
      <c r="L33" s="21">
        <v>49800</v>
      </c>
      <c r="M33" s="84">
        <f t="shared" si="10"/>
        <v>74700</v>
      </c>
      <c r="O33" s="83">
        <v>5</v>
      </c>
      <c r="P33" s="14" t="s">
        <v>68</v>
      </c>
      <c r="Q33" s="15">
        <v>185</v>
      </c>
      <c r="R33" s="16">
        <v>201</v>
      </c>
      <c r="S33" s="17">
        <v>219</v>
      </c>
      <c r="T33" s="18">
        <f t="shared" si="15"/>
        <v>17.309999999999999</v>
      </c>
      <c r="U33" s="19">
        <f t="shared" si="11"/>
        <v>23.08</v>
      </c>
      <c r="V33" s="19">
        <f t="shared" si="11"/>
        <v>34.619999999999997</v>
      </c>
      <c r="W33" s="20">
        <f t="shared" si="12"/>
        <v>36000</v>
      </c>
      <c r="X33" s="21">
        <v>48000</v>
      </c>
      <c r="Y33" s="84">
        <f t="shared" si="13"/>
        <v>72000</v>
      </c>
    </row>
    <row r="34" spans="2:25" x14ac:dyDescent="0.25">
      <c r="B34"/>
      <c r="C34" s="83">
        <v>6</v>
      </c>
      <c r="D34" s="14" t="s">
        <v>69</v>
      </c>
      <c r="E34" s="15">
        <v>220</v>
      </c>
      <c r="F34" s="16">
        <v>240</v>
      </c>
      <c r="G34" s="17">
        <v>262</v>
      </c>
      <c r="H34" s="18">
        <f t="shared" si="14"/>
        <v>19.940000000000001</v>
      </c>
      <c r="I34" s="19">
        <f t="shared" si="8"/>
        <v>26.59</v>
      </c>
      <c r="J34" s="19">
        <f t="shared" si="8"/>
        <v>39.880000000000003</v>
      </c>
      <c r="K34" s="20">
        <f t="shared" si="9"/>
        <v>41475</v>
      </c>
      <c r="L34" s="21">
        <v>55300</v>
      </c>
      <c r="M34" s="84">
        <f t="shared" si="10"/>
        <v>82950</v>
      </c>
      <c r="O34" s="83">
        <v>6</v>
      </c>
      <c r="P34" s="14" t="s">
        <v>69</v>
      </c>
      <c r="Q34" s="15">
        <v>220</v>
      </c>
      <c r="R34" s="16">
        <v>240</v>
      </c>
      <c r="S34" s="17">
        <v>262</v>
      </c>
      <c r="T34" s="18">
        <f t="shared" si="15"/>
        <v>20.55</v>
      </c>
      <c r="U34" s="19">
        <f t="shared" si="11"/>
        <v>27.4</v>
      </c>
      <c r="V34" s="19">
        <f t="shared" si="11"/>
        <v>41.11</v>
      </c>
      <c r="W34" s="20">
        <f t="shared" si="12"/>
        <v>42750</v>
      </c>
      <c r="X34" s="21">
        <v>57000</v>
      </c>
      <c r="Y34" s="84">
        <f t="shared" si="13"/>
        <v>85500</v>
      </c>
    </row>
    <row r="35" spans="2:25" x14ac:dyDescent="0.25">
      <c r="B35"/>
      <c r="C35" s="83">
        <v>7</v>
      </c>
      <c r="D35" s="14" t="s">
        <v>70</v>
      </c>
      <c r="E35" s="15">
        <v>263</v>
      </c>
      <c r="F35" s="16">
        <v>286</v>
      </c>
      <c r="G35" s="17">
        <v>312</v>
      </c>
      <c r="H35" s="18">
        <f t="shared" si="14"/>
        <v>22.32</v>
      </c>
      <c r="I35" s="19">
        <f t="shared" si="8"/>
        <v>29.76</v>
      </c>
      <c r="J35" s="19">
        <f t="shared" si="8"/>
        <v>44.64</v>
      </c>
      <c r="K35" s="20">
        <f t="shared" si="9"/>
        <v>46425</v>
      </c>
      <c r="L35" s="21">
        <v>61900</v>
      </c>
      <c r="M35" s="84">
        <f t="shared" si="10"/>
        <v>92850</v>
      </c>
      <c r="O35" s="83">
        <v>7</v>
      </c>
      <c r="P35" s="14" t="s">
        <v>70</v>
      </c>
      <c r="Q35" s="15">
        <v>263</v>
      </c>
      <c r="R35" s="16">
        <v>286</v>
      </c>
      <c r="S35" s="17">
        <v>312</v>
      </c>
      <c r="T35" s="18">
        <f t="shared" si="15"/>
        <v>22.57</v>
      </c>
      <c r="U35" s="19">
        <f t="shared" si="11"/>
        <v>30.1</v>
      </c>
      <c r="V35" s="19">
        <f t="shared" si="11"/>
        <v>45.14</v>
      </c>
      <c r="W35" s="20">
        <f t="shared" si="12"/>
        <v>46950</v>
      </c>
      <c r="X35" s="21">
        <v>62600</v>
      </c>
      <c r="Y35" s="84">
        <f t="shared" si="13"/>
        <v>93900</v>
      </c>
    </row>
    <row r="36" spans="2:25" x14ac:dyDescent="0.25">
      <c r="B36"/>
      <c r="C36" s="83">
        <v>8</v>
      </c>
      <c r="D36" s="14" t="s">
        <v>71</v>
      </c>
      <c r="E36" s="15">
        <v>313</v>
      </c>
      <c r="F36" s="16">
        <v>341</v>
      </c>
      <c r="G36" s="17">
        <v>372</v>
      </c>
      <c r="H36" s="18">
        <f t="shared" si="14"/>
        <v>25.17</v>
      </c>
      <c r="I36" s="19">
        <f t="shared" si="8"/>
        <v>33.56</v>
      </c>
      <c r="J36" s="19">
        <f t="shared" si="8"/>
        <v>50.34</v>
      </c>
      <c r="K36" s="20">
        <f t="shared" si="9"/>
        <v>52350</v>
      </c>
      <c r="L36" s="21">
        <v>69800</v>
      </c>
      <c r="M36" s="84">
        <f t="shared" si="10"/>
        <v>104700</v>
      </c>
      <c r="O36" s="83">
        <v>8</v>
      </c>
      <c r="P36" s="14" t="s">
        <v>71</v>
      </c>
      <c r="Q36" s="15">
        <v>313</v>
      </c>
      <c r="R36" s="16">
        <v>341</v>
      </c>
      <c r="S36" s="17">
        <v>372</v>
      </c>
      <c r="T36" s="18">
        <f t="shared" si="15"/>
        <v>24.95</v>
      </c>
      <c r="U36" s="19">
        <f t="shared" si="11"/>
        <v>33.270000000000003</v>
      </c>
      <c r="V36" s="19">
        <f t="shared" si="11"/>
        <v>49.9</v>
      </c>
      <c r="W36" s="20">
        <f t="shared" si="12"/>
        <v>51900</v>
      </c>
      <c r="X36" s="21">
        <v>69200</v>
      </c>
      <c r="Y36" s="84">
        <f t="shared" si="13"/>
        <v>103800</v>
      </c>
    </row>
    <row r="37" spans="2:25" x14ac:dyDescent="0.25">
      <c r="B37"/>
      <c r="C37" s="83">
        <v>9</v>
      </c>
      <c r="D37" s="14" t="s">
        <v>72</v>
      </c>
      <c r="E37" s="15">
        <v>373</v>
      </c>
      <c r="F37" s="16">
        <v>406</v>
      </c>
      <c r="G37" s="17">
        <v>443</v>
      </c>
      <c r="H37" s="18">
        <f t="shared" si="14"/>
        <v>28.56</v>
      </c>
      <c r="I37" s="19">
        <f t="shared" si="8"/>
        <v>38.08</v>
      </c>
      <c r="J37" s="19">
        <f t="shared" si="8"/>
        <v>57.12</v>
      </c>
      <c r="K37" s="20">
        <f t="shared" si="9"/>
        <v>59400</v>
      </c>
      <c r="L37" s="21">
        <v>79200</v>
      </c>
      <c r="M37" s="84">
        <f t="shared" si="10"/>
        <v>118800</v>
      </c>
      <c r="O37" s="83">
        <v>9</v>
      </c>
      <c r="P37" s="14" t="s">
        <v>72</v>
      </c>
      <c r="Q37" s="15">
        <v>373</v>
      </c>
      <c r="R37" s="16">
        <v>406</v>
      </c>
      <c r="S37" s="17">
        <v>443</v>
      </c>
      <c r="T37" s="18">
        <f t="shared" si="15"/>
        <v>27.84</v>
      </c>
      <c r="U37" s="19">
        <f t="shared" si="11"/>
        <v>37.119999999999997</v>
      </c>
      <c r="V37" s="19">
        <f t="shared" si="11"/>
        <v>55.67</v>
      </c>
      <c r="W37" s="20">
        <f t="shared" si="12"/>
        <v>57900</v>
      </c>
      <c r="X37" s="21">
        <v>77200</v>
      </c>
      <c r="Y37" s="84">
        <f t="shared" si="13"/>
        <v>115800</v>
      </c>
    </row>
    <row r="38" spans="2:25" x14ac:dyDescent="0.25">
      <c r="B38"/>
      <c r="C38" s="83">
        <v>10</v>
      </c>
      <c r="D38" s="14" t="s">
        <v>73</v>
      </c>
      <c r="E38" s="15">
        <v>444</v>
      </c>
      <c r="F38" s="16">
        <v>485</v>
      </c>
      <c r="G38" s="17">
        <v>528</v>
      </c>
      <c r="H38" s="18">
        <f t="shared" si="14"/>
        <v>32.74</v>
      </c>
      <c r="I38" s="19">
        <f t="shared" si="8"/>
        <v>43.65</v>
      </c>
      <c r="J38" s="19">
        <f t="shared" si="8"/>
        <v>65.48</v>
      </c>
      <c r="K38" s="20">
        <f t="shared" si="9"/>
        <v>68100</v>
      </c>
      <c r="L38" s="21">
        <v>90800</v>
      </c>
      <c r="M38" s="84">
        <f t="shared" si="10"/>
        <v>136200</v>
      </c>
      <c r="O38" s="83">
        <v>10</v>
      </c>
      <c r="P38" s="14" t="s">
        <v>73</v>
      </c>
      <c r="Q38" s="15">
        <v>444</v>
      </c>
      <c r="R38" s="16">
        <v>485</v>
      </c>
      <c r="S38" s="17">
        <v>528</v>
      </c>
      <c r="T38" s="18">
        <f t="shared" si="15"/>
        <v>31.23</v>
      </c>
      <c r="U38" s="19">
        <f t="shared" si="11"/>
        <v>41.63</v>
      </c>
      <c r="V38" s="19">
        <f t="shared" si="11"/>
        <v>62.45</v>
      </c>
      <c r="W38" s="20">
        <f t="shared" si="12"/>
        <v>64950</v>
      </c>
      <c r="X38" s="21">
        <v>86600</v>
      </c>
      <c r="Y38" s="84">
        <f t="shared" si="13"/>
        <v>129900</v>
      </c>
    </row>
    <row r="39" spans="2:25" x14ac:dyDescent="0.25">
      <c r="B39"/>
      <c r="C39" s="83">
        <v>11</v>
      </c>
      <c r="D39" s="14" t="s">
        <v>74</v>
      </c>
      <c r="E39" s="15">
        <v>529</v>
      </c>
      <c r="F39" s="16">
        <v>578</v>
      </c>
      <c r="G39" s="17">
        <v>630</v>
      </c>
      <c r="H39" s="18">
        <f t="shared" si="14"/>
        <v>37.68</v>
      </c>
      <c r="I39" s="19">
        <f t="shared" si="8"/>
        <v>50.24</v>
      </c>
      <c r="J39" s="19">
        <f t="shared" si="8"/>
        <v>75.36</v>
      </c>
      <c r="K39" s="20">
        <f t="shared" si="9"/>
        <v>78375</v>
      </c>
      <c r="L39" s="21">
        <v>104500</v>
      </c>
      <c r="M39" s="84">
        <f t="shared" si="10"/>
        <v>156750</v>
      </c>
      <c r="O39" s="83">
        <v>11</v>
      </c>
      <c r="P39" s="14" t="s">
        <v>74</v>
      </c>
      <c r="Q39" s="15">
        <v>529</v>
      </c>
      <c r="R39" s="16">
        <v>578</v>
      </c>
      <c r="S39" s="17">
        <v>630</v>
      </c>
      <c r="T39" s="18">
        <f t="shared" si="15"/>
        <v>35.299999999999997</v>
      </c>
      <c r="U39" s="19">
        <f t="shared" si="11"/>
        <v>47.07</v>
      </c>
      <c r="V39" s="19">
        <f t="shared" si="11"/>
        <v>70.599999999999994</v>
      </c>
      <c r="W39" s="20">
        <f t="shared" si="12"/>
        <v>73425</v>
      </c>
      <c r="X39" s="21">
        <v>97900</v>
      </c>
      <c r="Y39" s="84">
        <f t="shared" si="13"/>
        <v>146850</v>
      </c>
    </row>
    <row r="40" spans="2:25" x14ac:dyDescent="0.25">
      <c r="B40"/>
      <c r="C40" s="83">
        <v>12</v>
      </c>
      <c r="D40" s="14" t="s">
        <v>75</v>
      </c>
      <c r="E40" s="15">
        <v>631</v>
      </c>
      <c r="F40" s="16">
        <v>688</v>
      </c>
      <c r="G40" s="17">
        <v>750</v>
      </c>
      <c r="H40" s="18">
        <f t="shared" si="14"/>
        <v>41.03</v>
      </c>
      <c r="I40" s="19">
        <f t="shared" si="8"/>
        <v>54.71</v>
      </c>
      <c r="J40" s="19">
        <f t="shared" si="8"/>
        <v>82.07</v>
      </c>
      <c r="K40" s="20">
        <f t="shared" si="9"/>
        <v>85350</v>
      </c>
      <c r="L40" s="21">
        <v>113800</v>
      </c>
      <c r="M40" s="84">
        <f t="shared" si="10"/>
        <v>170700</v>
      </c>
      <c r="O40" s="83">
        <v>12</v>
      </c>
      <c r="P40" s="14" t="s">
        <v>75</v>
      </c>
      <c r="Q40" s="15">
        <v>631</v>
      </c>
      <c r="R40" s="16">
        <v>688</v>
      </c>
      <c r="S40" s="17">
        <v>750</v>
      </c>
      <c r="T40" s="18">
        <f t="shared" si="15"/>
        <v>39.520000000000003</v>
      </c>
      <c r="U40" s="19">
        <f t="shared" si="11"/>
        <v>52.69</v>
      </c>
      <c r="V40" s="19">
        <f t="shared" si="11"/>
        <v>79.040000000000006</v>
      </c>
      <c r="W40" s="20">
        <f t="shared" si="12"/>
        <v>82200</v>
      </c>
      <c r="X40" s="21">
        <v>109600</v>
      </c>
      <c r="Y40" s="84">
        <f t="shared" si="13"/>
        <v>164400</v>
      </c>
    </row>
    <row r="41" spans="2:25" x14ac:dyDescent="0.25">
      <c r="B41"/>
      <c r="C41" s="83">
        <v>13</v>
      </c>
      <c r="D41" s="14" t="s">
        <v>76</v>
      </c>
      <c r="E41" s="15">
        <v>751</v>
      </c>
      <c r="F41" s="16">
        <v>828</v>
      </c>
      <c r="G41" s="17">
        <f>ROUND(F41*1.092,0)</f>
        <v>904</v>
      </c>
      <c r="H41" s="18">
        <f t="shared" si="14"/>
        <v>45.14</v>
      </c>
      <c r="I41" s="19">
        <f t="shared" si="8"/>
        <v>60.19</v>
      </c>
      <c r="J41" s="19">
        <f t="shared" si="8"/>
        <v>90.29</v>
      </c>
      <c r="K41" s="20">
        <f t="shared" si="9"/>
        <v>93900</v>
      </c>
      <c r="L41" s="21">
        <v>125200</v>
      </c>
      <c r="M41" s="84">
        <f t="shared" si="10"/>
        <v>187800</v>
      </c>
      <c r="O41" s="83">
        <v>13</v>
      </c>
      <c r="P41" s="14" t="s">
        <v>76</v>
      </c>
      <c r="Q41" s="15">
        <v>751</v>
      </c>
      <c r="R41" s="16">
        <v>828</v>
      </c>
      <c r="S41" s="17">
        <f>ROUND(R41*1.092,0)</f>
        <v>904</v>
      </c>
      <c r="T41" s="18">
        <f t="shared" si="15"/>
        <v>44.78</v>
      </c>
      <c r="U41" s="19">
        <f t="shared" si="11"/>
        <v>59.71</v>
      </c>
      <c r="V41" s="19">
        <f t="shared" si="11"/>
        <v>89.57</v>
      </c>
      <c r="W41" s="20">
        <f t="shared" si="12"/>
        <v>93150</v>
      </c>
      <c r="X41" s="21">
        <v>124200</v>
      </c>
      <c r="Y41" s="84">
        <f t="shared" si="13"/>
        <v>186300</v>
      </c>
    </row>
    <row r="42" spans="2:25" x14ac:dyDescent="0.25">
      <c r="B42"/>
      <c r="C42" s="83">
        <v>14</v>
      </c>
      <c r="D42" s="14" t="s">
        <v>77</v>
      </c>
      <c r="E42" s="15">
        <v>905</v>
      </c>
      <c r="F42" s="16">
        <v>998</v>
      </c>
      <c r="G42" s="17">
        <f>ROUND(F42*1.0925,0)</f>
        <v>1090</v>
      </c>
      <c r="H42" s="18">
        <f t="shared" si="14"/>
        <v>50.26</v>
      </c>
      <c r="I42" s="19">
        <f t="shared" si="8"/>
        <v>67.02</v>
      </c>
      <c r="J42" s="19">
        <f t="shared" si="8"/>
        <v>100.53</v>
      </c>
      <c r="K42" s="20">
        <f t="shared" si="9"/>
        <v>104550</v>
      </c>
      <c r="L42" s="21">
        <v>139400</v>
      </c>
      <c r="M42" s="84">
        <f t="shared" si="10"/>
        <v>209100</v>
      </c>
      <c r="O42" s="83">
        <v>14</v>
      </c>
      <c r="P42" s="14" t="s">
        <v>77</v>
      </c>
      <c r="Q42" s="15">
        <v>905</v>
      </c>
      <c r="R42" s="16">
        <v>998</v>
      </c>
      <c r="S42" s="17">
        <f>ROUND(R42*1.0925,0)</f>
        <v>1090</v>
      </c>
      <c r="T42" s="18">
        <f t="shared" si="15"/>
        <v>51.27</v>
      </c>
      <c r="U42" s="19">
        <f t="shared" si="11"/>
        <v>68.37</v>
      </c>
      <c r="V42" s="19">
        <f t="shared" si="11"/>
        <v>102.55</v>
      </c>
      <c r="W42" s="20">
        <f t="shared" si="12"/>
        <v>106650</v>
      </c>
      <c r="X42" s="21">
        <v>142200</v>
      </c>
      <c r="Y42" s="84">
        <f t="shared" si="13"/>
        <v>213300</v>
      </c>
    </row>
    <row r="43" spans="2:25" x14ac:dyDescent="0.25">
      <c r="B43"/>
      <c r="C43" s="83">
        <v>15</v>
      </c>
      <c r="D43" s="14" t="s">
        <v>78</v>
      </c>
      <c r="E43" s="15">
        <f>G42+1</f>
        <v>1091</v>
      </c>
      <c r="F43" s="16">
        <v>1176</v>
      </c>
      <c r="G43" s="17">
        <v>1292</v>
      </c>
      <c r="H43" s="18">
        <f t="shared" si="14"/>
        <v>57.69</v>
      </c>
      <c r="I43" s="19">
        <f t="shared" si="8"/>
        <v>76.92</v>
      </c>
      <c r="J43" s="19">
        <f t="shared" si="8"/>
        <v>115.38</v>
      </c>
      <c r="K43" s="20">
        <f t="shared" si="9"/>
        <v>120000</v>
      </c>
      <c r="L43" s="21">
        <v>160000</v>
      </c>
      <c r="M43" s="84">
        <f t="shared" si="10"/>
        <v>240000</v>
      </c>
      <c r="O43" s="83">
        <v>15</v>
      </c>
      <c r="P43" s="14" t="s">
        <v>78</v>
      </c>
      <c r="Q43" s="15">
        <f>S42+1</f>
        <v>1091</v>
      </c>
      <c r="R43" s="16">
        <v>1176</v>
      </c>
      <c r="S43" s="17">
        <v>1292</v>
      </c>
      <c r="T43" s="18">
        <f t="shared" si="15"/>
        <v>57.69</v>
      </c>
      <c r="U43" s="19">
        <f t="shared" si="11"/>
        <v>76.92</v>
      </c>
      <c r="V43" s="19">
        <f t="shared" si="11"/>
        <v>115.38</v>
      </c>
      <c r="W43" s="20">
        <f t="shared" si="12"/>
        <v>120000</v>
      </c>
      <c r="X43" s="21">
        <v>160000</v>
      </c>
      <c r="Y43" s="84">
        <f t="shared" si="13"/>
        <v>240000</v>
      </c>
    </row>
    <row r="44" spans="2:25" x14ac:dyDescent="0.25">
      <c r="B44"/>
      <c r="C44" s="83">
        <v>17</v>
      </c>
      <c r="D44" s="14" t="s">
        <v>79</v>
      </c>
      <c r="E44" s="15">
        <v>1532</v>
      </c>
      <c r="F44" s="16">
        <v>1665</v>
      </c>
      <c r="G44" s="17">
        <f>ROUND(F44*1.094,0)</f>
        <v>1822</v>
      </c>
      <c r="H44" s="18">
        <f t="shared" si="14"/>
        <v>66.709999999999994</v>
      </c>
      <c r="I44" s="19">
        <f t="shared" si="8"/>
        <v>88.94</v>
      </c>
      <c r="J44" s="19">
        <f t="shared" si="8"/>
        <v>133.41</v>
      </c>
      <c r="K44" s="20">
        <f>L44*0.75</f>
        <v>138750</v>
      </c>
      <c r="L44" s="21">
        <v>185000</v>
      </c>
      <c r="M44" s="84">
        <f>L44*1.5</f>
        <v>277500</v>
      </c>
      <c r="O44" s="83">
        <v>17</v>
      </c>
      <c r="P44" s="14" t="s">
        <v>79</v>
      </c>
      <c r="Q44" s="15">
        <v>1532</v>
      </c>
      <c r="R44" s="16">
        <v>1665</v>
      </c>
      <c r="S44" s="17">
        <f>ROUND(R44*1.094,0)</f>
        <v>1822</v>
      </c>
      <c r="T44" s="18">
        <f t="shared" si="15"/>
        <v>66.709999999999994</v>
      </c>
      <c r="U44" s="19">
        <f t="shared" si="11"/>
        <v>88.94</v>
      </c>
      <c r="V44" s="19">
        <f t="shared" si="11"/>
        <v>133.41</v>
      </c>
      <c r="W44" s="20">
        <f>X44*0.75</f>
        <v>138750</v>
      </c>
      <c r="X44" s="21">
        <v>185000</v>
      </c>
      <c r="Y44" s="84">
        <f>X44*1.5</f>
        <v>277500</v>
      </c>
    </row>
    <row r="45" spans="2:25" ht="15.75" thickBot="1" x14ac:dyDescent="0.3">
      <c r="B45"/>
      <c r="C45" s="97">
        <v>19</v>
      </c>
      <c r="D45" s="98" t="s">
        <v>80</v>
      </c>
      <c r="E45" s="99">
        <v>2167</v>
      </c>
      <c r="F45" s="100">
        <v>2354</v>
      </c>
      <c r="G45" s="101">
        <f>ROUND(F45*1.094,0)</f>
        <v>2575</v>
      </c>
      <c r="H45" s="102">
        <f t="shared" si="14"/>
        <v>81.13</v>
      </c>
      <c r="I45" s="103">
        <f t="shared" si="8"/>
        <v>108.17</v>
      </c>
      <c r="J45" s="104">
        <f>ROUND(M45/2080,2)</f>
        <v>162.26</v>
      </c>
      <c r="K45" s="105">
        <f>L45*0.75</f>
        <v>168750</v>
      </c>
      <c r="L45" s="106">
        <v>225000</v>
      </c>
      <c r="M45" s="107">
        <f>L45*1.5</f>
        <v>337500</v>
      </c>
      <c r="O45" s="97">
        <v>19</v>
      </c>
      <c r="P45" s="98" t="s">
        <v>80</v>
      </c>
      <c r="Q45" s="99">
        <v>2167</v>
      </c>
      <c r="R45" s="100">
        <v>2354</v>
      </c>
      <c r="S45" s="101">
        <f>ROUND(R45*1.094,0)</f>
        <v>2575</v>
      </c>
      <c r="T45" s="102">
        <f t="shared" si="15"/>
        <v>81.13</v>
      </c>
      <c r="U45" s="103">
        <f t="shared" si="11"/>
        <v>108.17</v>
      </c>
      <c r="V45" s="104">
        <f>ROUND(Y45/2080,2)</f>
        <v>162.26</v>
      </c>
      <c r="W45" s="105">
        <f>X45*0.75</f>
        <v>168750</v>
      </c>
      <c r="X45" s="106">
        <v>225000</v>
      </c>
      <c r="Y45" s="107">
        <f>X45*1.5</f>
        <v>337500</v>
      </c>
    </row>
  </sheetData>
  <mergeCells count="32">
    <mergeCell ref="H3:J3"/>
    <mergeCell ref="C3:C4"/>
    <mergeCell ref="D3:D4"/>
    <mergeCell ref="E3:E4"/>
    <mergeCell ref="F3:F4"/>
    <mergeCell ref="G3:G4"/>
    <mergeCell ref="T3:V3"/>
    <mergeCell ref="W3:Y3"/>
    <mergeCell ref="E5:G5"/>
    <mergeCell ref="Q5:S5"/>
    <mergeCell ref="C27:C28"/>
    <mergeCell ref="D27:D28"/>
    <mergeCell ref="E27:E28"/>
    <mergeCell ref="F27:F28"/>
    <mergeCell ref="G27:G28"/>
    <mergeCell ref="H27:J27"/>
    <mergeCell ref="K3:M3"/>
    <mergeCell ref="O3:O4"/>
    <mergeCell ref="P3:P4"/>
    <mergeCell ref="Q3:Q4"/>
    <mergeCell ref="R3:R4"/>
    <mergeCell ref="S3:S4"/>
    <mergeCell ref="T27:V27"/>
    <mergeCell ref="W27:Y27"/>
    <mergeCell ref="E29:G29"/>
    <mergeCell ref="Q29:S29"/>
    <mergeCell ref="K27:M27"/>
    <mergeCell ref="O27:O28"/>
    <mergeCell ref="P27:P28"/>
    <mergeCell ref="Q27:Q28"/>
    <mergeCell ref="R27:R28"/>
    <mergeCell ref="S27:S28"/>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3E5BFA-8F8B-4033-AF1B-F9FF87541621}">
  <sheetPr>
    <tabColor theme="0" tint="-0.14999847407452621"/>
  </sheetPr>
  <dimension ref="C1:Y44"/>
  <sheetViews>
    <sheetView workbookViewId="0"/>
  </sheetViews>
  <sheetFormatPr defaultRowHeight="15" x14ac:dyDescent="0.25"/>
  <sheetData>
    <row r="1" spans="3:25" ht="20.100000000000001" customHeight="1" x14ac:dyDescent="0.25">
      <c r="C1" s="8" t="s">
        <v>51</v>
      </c>
      <c r="D1" s="8"/>
      <c r="E1" s="8"/>
      <c r="F1" s="8"/>
      <c r="G1" s="9"/>
      <c r="H1" s="9"/>
      <c r="I1" s="9"/>
      <c r="J1" s="9"/>
      <c r="K1" s="9"/>
      <c r="L1" s="9"/>
      <c r="M1" s="9"/>
      <c r="O1" s="8" t="s">
        <v>82</v>
      </c>
      <c r="P1" s="8"/>
      <c r="Q1" s="8"/>
      <c r="R1" s="8"/>
      <c r="S1" s="9"/>
      <c r="T1" s="9"/>
      <c r="U1" s="9"/>
      <c r="V1" s="9"/>
      <c r="W1" s="9"/>
      <c r="X1" s="9"/>
      <c r="Y1" s="9"/>
    </row>
    <row r="2" spans="3:25" ht="18.75" thickBot="1" x14ac:dyDescent="0.3">
      <c r="C2" s="10">
        <v>1.55</v>
      </c>
      <c r="D2" s="11"/>
      <c r="E2" s="12"/>
      <c r="F2" s="12"/>
      <c r="G2" s="13"/>
      <c r="H2" s="13"/>
      <c r="I2" s="13"/>
      <c r="J2" s="13"/>
      <c r="K2" s="13"/>
      <c r="L2" s="13"/>
      <c r="M2" s="12"/>
      <c r="O2" s="10">
        <v>1.55</v>
      </c>
      <c r="P2" s="11"/>
      <c r="Q2" s="12"/>
      <c r="R2" s="12"/>
      <c r="S2" s="13"/>
      <c r="T2" s="13"/>
      <c r="U2" s="13"/>
      <c r="V2" s="13"/>
      <c r="W2" s="13"/>
      <c r="X2" s="13"/>
      <c r="Y2" s="12"/>
    </row>
    <row r="3" spans="3:25" ht="15" customHeight="1" x14ac:dyDescent="0.25">
      <c r="C3" s="177" t="s">
        <v>52</v>
      </c>
      <c r="D3" s="177" t="s">
        <v>53</v>
      </c>
      <c r="E3" s="179" t="s">
        <v>54</v>
      </c>
      <c r="F3" s="181" t="s">
        <v>55</v>
      </c>
      <c r="G3" s="183" t="s">
        <v>56</v>
      </c>
      <c r="H3" s="173" t="s">
        <v>57</v>
      </c>
      <c r="I3" s="174"/>
      <c r="J3" s="175"/>
      <c r="K3" s="176" t="s">
        <v>58</v>
      </c>
      <c r="L3" s="174"/>
      <c r="M3" s="175"/>
      <c r="O3" s="177" t="s">
        <v>52</v>
      </c>
      <c r="P3" s="177" t="s">
        <v>53</v>
      </c>
      <c r="Q3" s="179" t="s">
        <v>54</v>
      </c>
      <c r="R3" s="181" t="s">
        <v>55</v>
      </c>
      <c r="S3" s="183" t="s">
        <v>56</v>
      </c>
      <c r="T3" s="173" t="s">
        <v>57</v>
      </c>
      <c r="U3" s="174"/>
      <c r="V3" s="175"/>
      <c r="W3" s="176" t="s">
        <v>58</v>
      </c>
      <c r="X3" s="174"/>
      <c r="Y3" s="175"/>
    </row>
    <row r="4" spans="3:25" ht="39" x14ac:dyDescent="0.25">
      <c r="C4" s="178"/>
      <c r="D4" s="178"/>
      <c r="E4" s="180"/>
      <c r="F4" s="182"/>
      <c r="G4" s="184"/>
      <c r="H4" s="36" t="s">
        <v>59</v>
      </c>
      <c r="I4" s="37" t="s">
        <v>60</v>
      </c>
      <c r="J4" s="38" t="s">
        <v>61</v>
      </c>
      <c r="K4" s="39" t="s">
        <v>62</v>
      </c>
      <c r="L4" s="40" t="s">
        <v>60</v>
      </c>
      <c r="M4" s="41" t="s">
        <v>61</v>
      </c>
      <c r="O4" s="178"/>
      <c r="P4" s="178"/>
      <c r="Q4" s="180"/>
      <c r="R4" s="182"/>
      <c r="S4" s="184"/>
      <c r="T4" s="36" t="s">
        <v>59</v>
      </c>
      <c r="U4" s="37" t="s">
        <v>60</v>
      </c>
      <c r="V4" s="38" t="s">
        <v>61</v>
      </c>
      <c r="W4" s="39" t="s">
        <v>62</v>
      </c>
      <c r="X4" s="40" t="s">
        <v>60</v>
      </c>
      <c r="Y4" s="41" t="s">
        <v>61</v>
      </c>
    </row>
    <row r="5" spans="3:25" x14ac:dyDescent="0.25">
      <c r="C5" s="14">
        <v>1</v>
      </c>
      <c r="D5" s="14" t="s">
        <v>63</v>
      </c>
      <c r="E5" s="146" t="s">
        <v>64</v>
      </c>
      <c r="F5" s="147"/>
      <c r="G5" s="148"/>
      <c r="H5" s="18">
        <v>7.25</v>
      </c>
      <c r="I5" s="19">
        <f>ROUND(L5/2080,2)</f>
        <v>14.05</v>
      </c>
      <c r="J5" s="19">
        <f>ROUND(M5/2080,2)</f>
        <v>21.08</v>
      </c>
      <c r="K5" s="20">
        <f>L5*0.75</f>
        <v>21918</v>
      </c>
      <c r="L5" s="21">
        <v>29224</v>
      </c>
      <c r="M5" s="22">
        <f>L5*1.5</f>
        <v>43836</v>
      </c>
      <c r="O5" s="14">
        <v>1</v>
      </c>
      <c r="P5" s="14" t="s">
        <v>63</v>
      </c>
      <c r="Q5" s="146" t="s">
        <v>64</v>
      </c>
      <c r="R5" s="147"/>
      <c r="S5" s="148"/>
      <c r="T5" s="18">
        <v>7.25</v>
      </c>
      <c r="U5" s="19">
        <f>ROUND(X5/2080,2)</f>
        <v>14.05</v>
      </c>
      <c r="V5" s="19">
        <f>ROUND(Y5/2080,2)</f>
        <v>21.08</v>
      </c>
      <c r="W5" s="20">
        <f t="shared" ref="W5:W21" si="0">X5*0.75</f>
        <v>21918</v>
      </c>
      <c r="X5" s="21">
        <v>29224</v>
      </c>
      <c r="Y5" s="22">
        <f t="shared" ref="Y5:Y21" si="1">X5*1.5</f>
        <v>43836</v>
      </c>
    </row>
    <row r="6" spans="3:25" x14ac:dyDescent="0.25">
      <c r="C6" s="14">
        <v>2</v>
      </c>
      <c r="D6" s="14" t="s">
        <v>65</v>
      </c>
      <c r="E6" s="23">
        <v>110</v>
      </c>
      <c r="F6" s="24">
        <v>119</v>
      </c>
      <c r="G6" s="25">
        <v>130</v>
      </c>
      <c r="H6" s="18">
        <f>ROUND(K6/2080,2)</f>
        <v>12.16</v>
      </c>
      <c r="I6" s="19">
        <f t="shared" ref="I6:J21" si="2">ROUND(L6/2080,2)</f>
        <v>16.21</v>
      </c>
      <c r="J6" s="19">
        <f t="shared" si="2"/>
        <v>24.32</v>
      </c>
      <c r="K6" s="20">
        <f t="shared" ref="K6:K19" si="3">L6*0.75</f>
        <v>25293</v>
      </c>
      <c r="L6" s="21">
        <v>33724</v>
      </c>
      <c r="M6" s="22">
        <f t="shared" ref="M6:M19" si="4">L6*1.5</f>
        <v>50586</v>
      </c>
      <c r="O6" s="14">
        <v>2</v>
      </c>
      <c r="P6" s="14" t="s">
        <v>65</v>
      </c>
      <c r="Q6" s="23">
        <v>110</v>
      </c>
      <c r="R6" s="24">
        <v>119</v>
      </c>
      <c r="S6" s="25">
        <v>130</v>
      </c>
      <c r="T6" s="18">
        <f>ROUND(W6/2080,2)</f>
        <v>12.16</v>
      </c>
      <c r="U6" s="19">
        <f>ROUND(X6/2080,2)</f>
        <v>16.21</v>
      </c>
      <c r="V6" s="19">
        <f t="shared" ref="V6:V20" si="5">ROUND(Y6/2080,2)</f>
        <v>24.32</v>
      </c>
      <c r="W6" s="20">
        <f t="shared" si="0"/>
        <v>25293</v>
      </c>
      <c r="X6" s="21">
        <v>33724</v>
      </c>
      <c r="Y6" s="22">
        <f t="shared" si="1"/>
        <v>50586</v>
      </c>
    </row>
    <row r="7" spans="3:25" x14ac:dyDescent="0.25">
      <c r="C7" s="14">
        <v>3</v>
      </c>
      <c r="D7" s="14" t="s">
        <v>66</v>
      </c>
      <c r="E7" s="23">
        <v>131</v>
      </c>
      <c r="F7" s="24">
        <v>142</v>
      </c>
      <c r="G7" s="25">
        <v>154</v>
      </c>
      <c r="H7" s="18">
        <f t="shared" ref="H7:H21" si="6">ROUND(K7/2080,2)</f>
        <v>13.42</v>
      </c>
      <c r="I7" s="19">
        <f t="shared" si="2"/>
        <v>17.899999999999999</v>
      </c>
      <c r="J7" s="19">
        <f t="shared" si="2"/>
        <v>26.84</v>
      </c>
      <c r="K7" s="20">
        <f t="shared" si="3"/>
        <v>27918</v>
      </c>
      <c r="L7" s="21">
        <v>37224</v>
      </c>
      <c r="M7" s="22">
        <f t="shared" si="4"/>
        <v>55836</v>
      </c>
      <c r="O7" s="14">
        <v>3</v>
      </c>
      <c r="P7" s="14" t="s">
        <v>66</v>
      </c>
      <c r="Q7" s="23">
        <v>131</v>
      </c>
      <c r="R7" s="24">
        <v>142</v>
      </c>
      <c r="S7" s="25">
        <v>154</v>
      </c>
      <c r="T7" s="18">
        <f t="shared" ref="T7:U21" si="7">ROUND(W7/2080,2)</f>
        <v>13.42</v>
      </c>
      <c r="U7" s="19">
        <f t="shared" si="7"/>
        <v>17.899999999999999</v>
      </c>
      <c r="V7" s="19">
        <f t="shared" si="5"/>
        <v>26.84</v>
      </c>
      <c r="W7" s="20">
        <f t="shared" si="0"/>
        <v>27918</v>
      </c>
      <c r="X7" s="21">
        <v>37224</v>
      </c>
      <c r="Y7" s="22">
        <f t="shared" si="1"/>
        <v>55836</v>
      </c>
    </row>
    <row r="8" spans="3:25" x14ac:dyDescent="0.25">
      <c r="C8" s="14">
        <v>4</v>
      </c>
      <c r="D8" s="14" t="s">
        <v>67</v>
      </c>
      <c r="E8" s="23">
        <v>155</v>
      </c>
      <c r="F8" s="24">
        <v>169</v>
      </c>
      <c r="G8" s="25">
        <v>184</v>
      </c>
      <c r="H8" s="18">
        <f t="shared" si="6"/>
        <v>14.94</v>
      </c>
      <c r="I8" s="19">
        <f t="shared" si="2"/>
        <v>19.920000000000002</v>
      </c>
      <c r="J8" s="19">
        <f t="shared" si="2"/>
        <v>29.87</v>
      </c>
      <c r="K8" s="20">
        <f t="shared" si="3"/>
        <v>31068</v>
      </c>
      <c r="L8" s="21">
        <v>41424</v>
      </c>
      <c r="M8" s="22">
        <f t="shared" si="4"/>
        <v>62136</v>
      </c>
      <c r="O8" s="14">
        <v>4</v>
      </c>
      <c r="P8" s="14" t="s">
        <v>67</v>
      </c>
      <c r="Q8" s="23">
        <v>155</v>
      </c>
      <c r="R8" s="24">
        <v>169</v>
      </c>
      <c r="S8" s="25">
        <v>184</v>
      </c>
      <c r="T8" s="18">
        <f t="shared" si="7"/>
        <v>14.94</v>
      </c>
      <c r="U8" s="19">
        <f t="shared" si="7"/>
        <v>19.920000000000002</v>
      </c>
      <c r="V8" s="19">
        <f t="shared" si="5"/>
        <v>29.87</v>
      </c>
      <c r="W8" s="20">
        <f t="shared" si="0"/>
        <v>31068</v>
      </c>
      <c r="X8" s="21">
        <v>41424</v>
      </c>
      <c r="Y8" s="22">
        <f t="shared" si="1"/>
        <v>62136</v>
      </c>
    </row>
    <row r="9" spans="3:25" x14ac:dyDescent="0.25">
      <c r="C9" s="14">
        <v>5</v>
      </c>
      <c r="D9" s="14" t="s">
        <v>68</v>
      </c>
      <c r="E9" s="23">
        <v>185</v>
      </c>
      <c r="F9" s="24">
        <v>201</v>
      </c>
      <c r="G9" s="25">
        <v>219</v>
      </c>
      <c r="H9" s="18">
        <f t="shared" si="6"/>
        <v>16.809999999999999</v>
      </c>
      <c r="I9" s="19">
        <f t="shared" si="2"/>
        <v>22.42</v>
      </c>
      <c r="J9" s="19">
        <f t="shared" si="2"/>
        <v>33.619999999999997</v>
      </c>
      <c r="K9" s="20">
        <f t="shared" si="3"/>
        <v>34968</v>
      </c>
      <c r="L9" s="21">
        <v>46624</v>
      </c>
      <c r="M9" s="22">
        <f t="shared" si="4"/>
        <v>69936</v>
      </c>
      <c r="O9" s="14">
        <v>5</v>
      </c>
      <c r="P9" s="14" t="s">
        <v>68</v>
      </c>
      <c r="Q9" s="23">
        <v>185</v>
      </c>
      <c r="R9" s="24">
        <v>201</v>
      </c>
      <c r="S9" s="25">
        <v>219</v>
      </c>
      <c r="T9" s="18">
        <f t="shared" si="7"/>
        <v>16.809999999999999</v>
      </c>
      <c r="U9" s="19">
        <f t="shared" si="7"/>
        <v>22.42</v>
      </c>
      <c r="V9" s="19">
        <f t="shared" si="5"/>
        <v>33.619999999999997</v>
      </c>
      <c r="W9" s="20">
        <f t="shared" si="0"/>
        <v>34968</v>
      </c>
      <c r="X9" s="21">
        <v>46624</v>
      </c>
      <c r="Y9" s="22">
        <f t="shared" si="1"/>
        <v>69936</v>
      </c>
    </row>
    <row r="10" spans="3:25" x14ac:dyDescent="0.25">
      <c r="C10" s="14">
        <v>6</v>
      </c>
      <c r="D10" s="14" t="s">
        <v>69</v>
      </c>
      <c r="E10" s="23">
        <v>220</v>
      </c>
      <c r="F10" s="24">
        <v>240</v>
      </c>
      <c r="G10" s="25">
        <v>262</v>
      </c>
      <c r="H10" s="18">
        <f t="shared" si="6"/>
        <v>19.010000000000002</v>
      </c>
      <c r="I10" s="19">
        <f t="shared" si="2"/>
        <v>25.35</v>
      </c>
      <c r="J10" s="19">
        <f t="shared" si="2"/>
        <v>38.020000000000003</v>
      </c>
      <c r="K10" s="20">
        <f t="shared" si="3"/>
        <v>39543</v>
      </c>
      <c r="L10" s="21">
        <v>52724</v>
      </c>
      <c r="M10" s="22">
        <f t="shared" si="4"/>
        <v>79086</v>
      </c>
      <c r="O10" s="14">
        <v>6</v>
      </c>
      <c r="P10" s="14" t="s">
        <v>69</v>
      </c>
      <c r="Q10" s="23">
        <v>220</v>
      </c>
      <c r="R10" s="24">
        <v>240</v>
      </c>
      <c r="S10" s="25">
        <v>262</v>
      </c>
      <c r="T10" s="18">
        <f t="shared" si="7"/>
        <v>19.010000000000002</v>
      </c>
      <c r="U10" s="19">
        <f t="shared" si="7"/>
        <v>25.35</v>
      </c>
      <c r="V10" s="19">
        <f t="shared" si="5"/>
        <v>38.020000000000003</v>
      </c>
      <c r="W10" s="20">
        <f t="shared" si="0"/>
        <v>39543</v>
      </c>
      <c r="X10" s="21">
        <v>52724</v>
      </c>
      <c r="Y10" s="22">
        <f t="shared" si="1"/>
        <v>79086</v>
      </c>
    </row>
    <row r="11" spans="3:25" x14ac:dyDescent="0.25">
      <c r="C11" s="14">
        <v>7</v>
      </c>
      <c r="D11" s="14" t="s">
        <v>70</v>
      </c>
      <c r="E11" s="23">
        <v>263</v>
      </c>
      <c r="F11" s="24">
        <v>286</v>
      </c>
      <c r="G11" s="25">
        <v>312</v>
      </c>
      <c r="H11" s="18">
        <f t="shared" si="6"/>
        <v>21.25</v>
      </c>
      <c r="I11" s="19">
        <f t="shared" si="2"/>
        <v>28.33</v>
      </c>
      <c r="J11" s="19">
        <f t="shared" si="2"/>
        <v>42.49</v>
      </c>
      <c r="K11" s="20">
        <f t="shared" si="3"/>
        <v>44193</v>
      </c>
      <c r="L11" s="21">
        <v>58924</v>
      </c>
      <c r="M11" s="22">
        <f t="shared" si="4"/>
        <v>88386</v>
      </c>
      <c r="O11" s="14">
        <v>7</v>
      </c>
      <c r="P11" s="14" t="s">
        <v>70</v>
      </c>
      <c r="Q11" s="23">
        <v>263</v>
      </c>
      <c r="R11" s="24">
        <v>286</v>
      </c>
      <c r="S11" s="25">
        <v>312</v>
      </c>
      <c r="T11" s="18">
        <f t="shared" si="7"/>
        <v>21.25</v>
      </c>
      <c r="U11" s="19">
        <f t="shared" si="7"/>
        <v>28.33</v>
      </c>
      <c r="V11" s="19">
        <f t="shared" si="5"/>
        <v>42.49</v>
      </c>
      <c r="W11" s="20">
        <f t="shared" si="0"/>
        <v>44193</v>
      </c>
      <c r="X11" s="21">
        <v>58924</v>
      </c>
      <c r="Y11" s="22">
        <f t="shared" si="1"/>
        <v>88386</v>
      </c>
    </row>
    <row r="12" spans="3:25" x14ac:dyDescent="0.25">
      <c r="C12" s="14">
        <v>8</v>
      </c>
      <c r="D12" s="14" t="s">
        <v>71</v>
      </c>
      <c r="E12" s="23">
        <v>313</v>
      </c>
      <c r="F12" s="24">
        <v>341</v>
      </c>
      <c r="G12" s="25">
        <v>372</v>
      </c>
      <c r="H12" s="18">
        <f t="shared" si="6"/>
        <v>23.91</v>
      </c>
      <c r="I12" s="19">
        <f t="shared" si="2"/>
        <v>31.89</v>
      </c>
      <c r="J12" s="19">
        <f t="shared" si="2"/>
        <v>47.83</v>
      </c>
      <c r="K12" s="20">
        <f t="shared" si="3"/>
        <v>49743</v>
      </c>
      <c r="L12" s="21">
        <v>66324</v>
      </c>
      <c r="M12" s="22">
        <f t="shared" si="4"/>
        <v>99486</v>
      </c>
      <c r="O12" s="14">
        <v>8</v>
      </c>
      <c r="P12" s="14" t="s">
        <v>71</v>
      </c>
      <c r="Q12" s="23">
        <v>313</v>
      </c>
      <c r="R12" s="24">
        <v>341</v>
      </c>
      <c r="S12" s="25">
        <v>372</v>
      </c>
      <c r="T12" s="18">
        <f t="shared" si="7"/>
        <v>24.67</v>
      </c>
      <c r="U12" s="19">
        <f t="shared" si="7"/>
        <v>32.9</v>
      </c>
      <c r="V12" s="19">
        <f t="shared" si="5"/>
        <v>49.34</v>
      </c>
      <c r="W12" s="20">
        <f t="shared" si="0"/>
        <v>51318</v>
      </c>
      <c r="X12" s="21">
        <v>68424</v>
      </c>
      <c r="Y12" s="22">
        <f t="shared" si="1"/>
        <v>102636</v>
      </c>
    </row>
    <row r="13" spans="3:25" x14ac:dyDescent="0.25">
      <c r="C13" s="14">
        <v>9</v>
      </c>
      <c r="D13" s="14" t="s">
        <v>72</v>
      </c>
      <c r="E13" s="23">
        <v>373</v>
      </c>
      <c r="F13" s="24">
        <v>406</v>
      </c>
      <c r="G13" s="25">
        <v>443</v>
      </c>
      <c r="H13" s="18">
        <f t="shared" si="6"/>
        <v>27.12</v>
      </c>
      <c r="I13" s="19">
        <f t="shared" si="2"/>
        <v>36.17</v>
      </c>
      <c r="J13" s="19">
        <f t="shared" si="2"/>
        <v>54.25</v>
      </c>
      <c r="K13" s="20">
        <f t="shared" si="3"/>
        <v>56418</v>
      </c>
      <c r="L13" s="21">
        <v>75224</v>
      </c>
      <c r="M13" s="22">
        <f t="shared" si="4"/>
        <v>112836</v>
      </c>
      <c r="O13" s="14">
        <v>9</v>
      </c>
      <c r="P13" s="14" t="s">
        <v>72</v>
      </c>
      <c r="Q13" s="23">
        <v>373</v>
      </c>
      <c r="R13" s="24">
        <v>406</v>
      </c>
      <c r="S13" s="25">
        <v>443</v>
      </c>
      <c r="T13" s="18">
        <f t="shared" si="7"/>
        <v>28.78</v>
      </c>
      <c r="U13" s="19">
        <f t="shared" si="7"/>
        <v>38.380000000000003</v>
      </c>
      <c r="V13" s="19">
        <f t="shared" si="5"/>
        <v>57.57</v>
      </c>
      <c r="W13" s="20">
        <f t="shared" si="0"/>
        <v>59868</v>
      </c>
      <c r="X13" s="21">
        <v>79824</v>
      </c>
      <c r="Y13" s="22">
        <f t="shared" si="1"/>
        <v>119736</v>
      </c>
    </row>
    <row r="14" spans="3:25" x14ac:dyDescent="0.25">
      <c r="C14" s="14">
        <v>10</v>
      </c>
      <c r="D14" s="14" t="s">
        <v>73</v>
      </c>
      <c r="E14" s="23">
        <v>444</v>
      </c>
      <c r="F14" s="24">
        <v>485</v>
      </c>
      <c r="G14" s="25">
        <v>528</v>
      </c>
      <c r="H14" s="18">
        <f t="shared" si="6"/>
        <v>30.91</v>
      </c>
      <c r="I14" s="19">
        <f t="shared" si="2"/>
        <v>41.21</v>
      </c>
      <c r="J14" s="19">
        <f t="shared" si="2"/>
        <v>61.82</v>
      </c>
      <c r="K14" s="20">
        <f t="shared" si="3"/>
        <v>64293</v>
      </c>
      <c r="L14" s="21">
        <v>85724</v>
      </c>
      <c r="M14" s="22">
        <f t="shared" si="4"/>
        <v>128586</v>
      </c>
      <c r="O14" s="14">
        <v>10</v>
      </c>
      <c r="P14" s="14" t="s">
        <v>73</v>
      </c>
      <c r="Q14" s="23">
        <v>444</v>
      </c>
      <c r="R14" s="24">
        <v>485</v>
      </c>
      <c r="S14" s="25">
        <v>528</v>
      </c>
      <c r="T14" s="18">
        <f t="shared" si="7"/>
        <v>33.61</v>
      </c>
      <c r="U14" s="19">
        <f t="shared" si="7"/>
        <v>44.82</v>
      </c>
      <c r="V14" s="19">
        <f t="shared" si="5"/>
        <v>67.23</v>
      </c>
      <c r="W14" s="20">
        <f t="shared" si="0"/>
        <v>69918</v>
      </c>
      <c r="X14" s="21">
        <v>93224</v>
      </c>
      <c r="Y14" s="22">
        <f t="shared" si="1"/>
        <v>139836</v>
      </c>
    </row>
    <row r="15" spans="3:25" x14ac:dyDescent="0.25">
      <c r="C15" s="14">
        <v>11</v>
      </c>
      <c r="D15" s="14" t="s">
        <v>74</v>
      </c>
      <c r="E15" s="23">
        <v>529</v>
      </c>
      <c r="F15" s="24">
        <v>578</v>
      </c>
      <c r="G15" s="25">
        <v>630</v>
      </c>
      <c r="H15" s="18">
        <f t="shared" si="6"/>
        <v>35.42</v>
      </c>
      <c r="I15" s="19">
        <f t="shared" si="2"/>
        <v>47.22</v>
      </c>
      <c r="J15" s="19">
        <f t="shared" si="2"/>
        <v>70.83</v>
      </c>
      <c r="K15" s="20">
        <f t="shared" si="3"/>
        <v>73668</v>
      </c>
      <c r="L15" s="21">
        <v>98224</v>
      </c>
      <c r="M15" s="22">
        <f t="shared" si="4"/>
        <v>147336</v>
      </c>
      <c r="O15" s="14">
        <v>11</v>
      </c>
      <c r="P15" s="14" t="s">
        <v>74</v>
      </c>
      <c r="Q15" s="23">
        <v>529</v>
      </c>
      <c r="R15" s="24">
        <v>578</v>
      </c>
      <c r="S15" s="25">
        <v>630</v>
      </c>
      <c r="T15" s="18">
        <f t="shared" si="7"/>
        <v>37.15</v>
      </c>
      <c r="U15" s="19">
        <f t="shared" si="7"/>
        <v>49.53</v>
      </c>
      <c r="V15" s="19">
        <f t="shared" si="5"/>
        <v>74.3</v>
      </c>
      <c r="W15" s="20">
        <f t="shared" si="0"/>
        <v>77268</v>
      </c>
      <c r="X15" s="21">
        <v>103024</v>
      </c>
      <c r="Y15" s="22">
        <f t="shared" si="1"/>
        <v>154536</v>
      </c>
    </row>
    <row r="16" spans="3:25" x14ac:dyDescent="0.25">
      <c r="C16" s="14">
        <v>12</v>
      </c>
      <c r="D16" s="14" t="s">
        <v>75</v>
      </c>
      <c r="E16" s="23">
        <v>631</v>
      </c>
      <c r="F16" s="24">
        <v>688</v>
      </c>
      <c r="G16" s="25">
        <v>750</v>
      </c>
      <c r="H16" s="18">
        <f t="shared" si="6"/>
        <v>39.67</v>
      </c>
      <c r="I16" s="19">
        <f t="shared" si="2"/>
        <v>52.9</v>
      </c>
      <c r="J16" s="19">
        <f t="shared" si="2"/>
        <v>79.34</v>
      </c>
      <c r="K16" s="20">
        <f t="shared" si="3"/>
        <v>82518</v>
      </c>
      <c r="L16" s="21">
        <v>110024</v>
      </c>
      <c r="M16" s="22">
        <f t="shared" si="4"/>
        <v>165036</v>
      </c>
      <c r="O16" s="14">
        <v>12</v>
      </c>
      <c r="P16" s="14" t="s">
        <v>75</v>
      </c>
      <c r="Q16" s="23">
        <v>631</v>
      </c>
      <c r="R16" s="24">
        <v>688</v>
      </c>
      <c r="S16" s="25">
        <v>750</v>
      </c>
      <c r="T16" s="18">
        <f t="shared" si="7"/>
        <v>40.61</v>
      </c>
      <c r="U16" s="19">
        <f t="shared" si="7"/>
        <v>54.15</v>
      </c>
      <c r="V16" s="19">
        <f t="shared" si="5"/>
        <v>81.22</v>
      </c>
      <c r="W16" s="20">
        <f t="shared" si="0"/>
        <v>84468</v>
      </c>
      <c r="X16" s="21">
        <v>112624</v>
      </c>
      <c r="Y16" s="22">
        <f t="shared" si="1"/>
        <v>168936</v>
      </c>
    </row>
    <row r="17" spans="3:25" x14ac:dyDescent="0.25">
      <c r="C17" s="14">
        <v>13</v>
      </c>
      <c r="D17" s="14" t="s">
        <v>76</v>
      </c>
      <c r="E17" s="23">
        <v>751</v>
      </c>
      <c r="F17" s="24">
        <v>828</v>
      </c>
      <c r="G17" s="25">
        <f>ROUND(F17*1.092,0)</f>
        <v>904</v>
      </c>
      <c r="H17" s="18">
        <f t="shared" si="6"/>
        <v>44.9</v>
      </c>
      <c r="I17" s="19">
        <f t="shared" si="2"/>
        <v>59.87</v>
      </c>
      <c r="J17" s="19">
        <f t="shared" si="2"/>
        <v>89.8</v>
      </c>
      <c r="K17" s="20">
        <f t="shared" si="3"/>
        <v>93393</v>
      </c>
      <c r="L17" s="21">
        <v>124524</v>
      </c>
      <c r="M17" s="22">
        <f t="shared" si="4"/>
        <v>186786</v>
      </c>
      <c r="O17" s="14">
        <v>13</v>
      </c>
      <c r="P17" s="14" t="s">
        <v>76</v>
      </c>
      <c r="Q17" s="23">
        <v>751</v>
      </c>
      <c r="R17" s="24">
        <v>828</v>
      </c>
      <c r="S17" s="25">
        <f>ROUND(R17*1.092,0)</f>
        <v>904</v>
      </c>
      <c r="T17" s="18">
        <f t="shared" si="7"/>
        <v>44.9</v>
      </c>
      <c r="U17" s="19">
        <f t="shared" si="7"/>
        <v>59.87</v>
      </c>
      <c r="V17" s="19">
        <f t="shared" si="5"/>
        <v>89.8</v>
      </c>
      <c r="W17" s="20">
        <f t="shared" si="0"/>
        <v>93393</v>
      </c>
      <c r="X17" s="21">
        <v>124524</v>
      </c>
      <c r="Y17" s="22">
        <f t="shared" si="1"/>
        <v>186786</v>
      </c>
    </row>
    <row r="18" spans="3:25" x14ac:dyDescent="0.25">
      <c r="C18" s="14">
        <v>14</v>
      </c>
      <c r="D18" s="14" t="s">
        <v>77</v>
      </c>
      <c r="E18" s="23">
        <v>905</v>
      </c>
      <c r="F18" s="24">
        <v>998</v>
      </c>
      <c r="G18" s="25">
        <f>ROUND(F18*1.0925,0)</f>
        <v>1090</v>
      </c>
      <c r="H18" s="18">
        <f t="shared" si="6"/>
        <v>51.43</v>
      </c>
      <c r="I18" s="19">
        <f t="shared" si="2"/>
        <v>68.569999999999993</v>
      </c>
      <c r="J18" s="19">
        <f t="shared" si="2"/>
        <v>102.85</v>
      </c>
      <c r="K18" s="20">
        <f t="shared" si="3"/>
        <v>106968</v>
      </c>
      <c r="L18" s="21">
        <v>142624</v>
      </c>
      <c r="M18" s="22">
        <f t="shared" si="4"/>
        <v>213936</v>
      </c>
      <c r="O18" s="14">
        <v>14</v>
      </c>
      <c r="P18" s="14" t="s">
        <v>77</v>
      </c>
      <c r="Q18" s="23">
        <v>905</v>
      </c>
      <c r="R18" s="24">
        <v>998</v>
      </c>
      <c r="S18" s="25">
        <f>ROUND(R18*1.0925,0)</f>
        <v>1090</v>
      </c>
      <c r="T18" s="18">
        <f t="shared" si="7"/>
        <v>48.04</v>
      </c>
      <c r="U18" s="19">
        <f t="shared" si="7"/>
        <v>64.05</v>
      </c>
      <c r="V18" s="19">
        <f t="shared" si="5"/>
        <v>96.08</v>
      </c>
      <c r="W18" s="20">
        <f t="shared" si="0"/>
        <v>99918</v>
      </c>
      <c r="X18" s="21">
        <v>133224</v>
      </c>
      <c r="Y18" s="22">
        <f t="shared" si="1"/>
        <v>199836</v>
      </c>
    </row>
    <row r="19" spans="3:25" x14ac:dyDescent="0.25">
      <c r="C19" s="14">
        <v>15</v>
      </c>
      <c r="D19" s="14" t="s">
        <v>78</v>
      </c>
      <c r="E19" s="23">
        <f>G18+1</f>
        <v>1091</v>
      </c>
      <c r="F19" s="24">
        <v>1176</v>
      </c>
      <c r="G19" s="25">
        <v>1292</v>
      </c>
      <c r="H19" s="18">
        <f t="shared" si="6"/>
        <v>58.85</v>
      </c>
      <c r="I19" s="19">
        <f t="shared" si="2"/>
        <v>78.47</v>
      </c>
      <c r="J19" s="19">
        <f t="shared" si="2"/>
        <v>117.71</v>
      </c>
      <c r="K19" s="20">
        <f t="shared" si="3"/>
        <v>122418</v>
      </c>
      <c r="L19" s="21">
        <v>163224</v>
      </c>
      <c r="M19" s="22">
        <f t="shared" si="4"/>
        <v>244836</v>
      </c>
      <c r="O19" s="14">
        <v>15</v>
      </c>
      <c r="P19" s="14" t="s">
        <v>78</v>
      </c>
      <c r="Q19" s="23">
        <f>S18+1</f>
        <v>1091</v>
      </c>
      <c r="R19" s="24">
        <v>1176</v>
      </c>
      <c r="S19" s="25">
        <v>1292</v>
      </c>
      <c r="T19" s="18">
        <f t="shared" si="7"/>
        <v>58.85</v>
      </c>
      <c r="U19" s="19">
        <f t="shared" si="7"/>
        <v>78.47</v>
      </c>
      <c r="V19" s="19">
        <f t="shared" si="5"/>
        <v>117.71</v>
      </c>
      <c r="W19" s="20">
        <f t="shared" si="0"/>
        <v>122418</v>
      </c>
      <c r="X19" s="21">
        <v>163224</v>
      </c>
      <c r="Y19" s="22">
        <f t="shared" si="1"/>
        <v>244836</v>
      </c>
    </row>
    <row r="20" spans="3:25" x14ac:dyDescent="0.25">
      <c r="C20" s="14">
        <v>17</v>
      </c>
      <c r="D20" s="14" t="s">
        <v>79</v>
      </c>
      <c r="E20" s="23">
        <v>1532</v>
      </c>
      <c r="F20" s="24">
        <v>1665</v>
      </c>
      <c r="G20" s="25">
        <f>ROUND(F20*1.094,0)</f>
        <v>1822</v>
      </c>
      <c r="H20" s="18">
        <f t="shared" si="6"/>
        <v>67.87</v>
      </c>
      <c r="I20" s="19">
        <f t="shared" si="2"/>
        <v>90.49</v>
      </c>
      <c r="J20" s="19">
        <f t="shared" si="2"/>
        <v>135.74</v>
      </c>
      <c r="K20" s="20">
        <f>L20*0.75</f>
        <v>141168</v>
      </c>
      <c r="L20" s="21">
        <v>188224</v>
      </c>
      <c r="M20" s="22">
        <f>L20*1.5</f>
        <v>282336</v>
      </c>
      <c r="O20" s="14">
        <v>17</v>
      </c>
      <c r="P20" s="14" t="s">
        <v>79</v>
      </c>
      <c r="Q20" s="23">
        <v>1532</v>
      </c>
      <c r="R20" s="24">
        <v>1665</v>
      </c>
      <c r="S20" s="25">
        <f>ROUND(R20*1.094,0)</f>
        <v>1822</v>
      </c>
      <c r="T20" s="18">
        <f t="shared" si="7"/>
        <v>67.87</v>
      </c>
      <c r="U20" s="19">
        <f t="shared" si="7"/>
        <v>90.49</v>
      </c>
      <c r="V20" s="19">
        <f t="shared" si="5"/>
        <v>135.74</v>
      </c>
      <c r="W20" s="20">
        <f t="shared" si="0"/>
        <v>141168</v>
      </c>
      <c r="X20" s="21">
        <v>188224</v>
      </c>
      <c r="Y20" s="22">
        <f t="shared" si="1"/>
        <v>282336</v>
      </c>
    </row>
    <row r="21" spans="3:25" ht="15.75" thickBot="1" x14ac:dyDescent="0.3">
      <c r="C21" s="26">
        <v>19</v>
      </c>
      <c r="D21" s="26" t="s">
        <v>80</v>
      </c>
      <c r="E21" s="27">
        <v>2167</v>
      </c>
      <c r="F21" s="28">
        <v>2354</v>
      </c>
      <c r="G21" s="29">
        <f>ROUND(F21*1.094,0)</f>
        <v>2575</v>
      </c>
      <c r="H21" s="30">
        <f t="shared" si="6"/>
        <v>82.29</v>
      </c>
      <c r="I21" s="31">
        <f t="shared" si="2"/>
        <v>109.72</v>
      </c>
      <c r="J21" s="32">
        <f>ROUND(M21/2080,2)</f>
        <v>164.58</v>
      </c>
      <c r="K21" s="33">
        <f>L21*0.75</f>
        <v>171168</v>
      </c>
      <c r="L21" s="34">
        <v>228224</v>
      </c>
      <c r="M21" s="35">
        <f>L21*1.5</f>
        <v>342336</v>
      </c>
      <c r="O21" s="26">
        <v>19</v>
      </c>
      <c r="P21" s="26" t="s">
        <v>80</v>
      </c>
      <c r="Q21" s="27">
        <v>2167</v>
      </c>
      <c r="R21" s="28">
        <v>2354</v>
      </c>
      <c r="S21" s="29">
        <f>ROUND(R21*1.094,0)</f>
        <v>2575</v>
      </c>
      <c r="T21" s="30">
        <f t="shared" si="7"/>
        <v>82.29</v>
      </c>
      <c r="U21" s="31">
        <f t="shared" si="7"/>
        <v>109.72</v>
      </c>
      <c r="V21" s="32">
        <f>ROUND(Y21/2080,2)</f>
        <v>164.58</v>
      </c>
      <c r="W21" s="33">
        <f t="shared" si="0"/>
        <v>171168</v>
      </c>
      <c r="X21" s="34">
        <v>228224</v>
      </c>
      <c r="Y21" s="35">
        <f t="shared" si="1"/>
        <v>342336</v>
      </c>
    </row>
    <row r="24" spans="3:25" ht="20.100000000000001" customHeight="1" x14ac:dyDescent="0.25">
      <c r="C24" s="8" t="s">
        <v>81</v>
      </c>
      <c r="D24" s="8"/>
      <c r="E24" s="8"/>
      <c r="F24" s="9"/>
      <c r="G24" s="9"/>
      <c r="H24" s="9"/>
      <c r="I24" s="9"/>
      <c r="J24" s="9"/>
      <c r="K24" s="9"/>
      <c r="L24" s="9"/>
      <c r="M24" s="9"/>
      <c r="O24" s="8" t="s">
        <v>83</v>
      </c>
      <c r="P24" s="8"/>
      <c r="Q24" s="8"/>
      <c r="R24" s="8"/>
      <c r="S24" s="9"/>
      <c r="T24" s="9"/>
      <c r="U24" s="9"/>
      <c r="V24" s="9"/>
      <c r="W24" s="9"/>
      <c r="X24" s="9"/>
      <c r="Y24" s="9"/>
    </row>
    <row r="25" spans="3:25" ht="18.75" thickBot="1" x14ac:dyDescent="0.3">
      <c r="C25" s="10">
        <v>1.55</v>
      </c>
      <c r="D25" s="12"/>
      <c r="E25" s="12"/>
      <c r="F25" s="13"/>
      <c r="G25" s="13"/>
      <c r="H25" s="13"/>
      <c r="I25" s="13"/>
      <c r="J25" s="13"/>
      <c r="K25" s="13"/>
      <c r="L25" s="12"/>
      <c r="M25" s="12"/>
      <c r="O25" s="10">
        <v>1.55</v>
      </c>
      <c r="P25" s="11"/>
      <c r="Q25" s="12"/>
      <c r="R25" s="12"/>
      <c r="S25" s="13"/>
      <c r="T25" s="13"/>
      <c r="U25" s="13"/>
      <c r="V25" s="13"/>
      <c r="W25" s="13"/>
      <c r="X25" s="13"/>
      <c r="Y25" s="12"/>
    </row>
    <row r="26" spans="3:25" ht="15" customHeight="1" x14ac:dyDescent="0.25">
      <c r="C26" s="177" t="s">
        <v>52</v>
      </c>
      <c r="D26" s="177" t="s">
        <v>53</v>
      </c>
      <c r="E26" s="179" t="s">
        <v>54</v>
      </c>
      <c r="F26" s="181" t="s">
        <v>55</v>
      </c>
      <c r="G26" s="183" t="s">
        <v>56</v>
      </c>
      <c r="H26" s="173" t="s">
        <v>57</v>
      </c>
      <c r="I26" s="174"/>
      <c r="J26" s="175"/>
      <c r="K26" s="176" t="s">
        <v>58</v>
      </c>
      <c r="L26" s="174"/>
      <c r="M26" s="175"/>
      <c r="O26" s="177" t="s">
        <v>52</v>
      </c>
      <c r="P26" s="177" t="s">
        <v>53</v>
      </c>
      <c r="Q26" s="179" t="s">
        <v>54</v>
      </c>
      <c r="R26" s="181" t="s">
        <v>55</v>
      </c>
      <c r="S26" s="183" t="s">
        <v>56</v>
      </c>
      <c r="T26" s="173" t="s">
        <v>57</v>
      </c>
      <c r="U26" s="174"/>
      <c r="V26" s="175"/>
      <c r="W26" s="176" t="s">
        <v>58</v>
      </c>
      <c r="X26" s="174"/>
      <c r="Y26" s="175"/>
    </row>
    <row r="27" spans="3:25" ht="39" x14ac:dyDescent="0.25">
      <c r="C27" s="178"/>
      <c r="D27" s="178"/>
      <c r="E27" s="180"/>
      <c r="F27" s="182"/>
      <c r="G27" s="184"/>
      <c r="H27" s="36" t="s">
        <v>59</v>
      </c>
      <c r="I27" s="37" t="s">
        <v>60</v>
      </c>
      <c r="J27" s="38" t="s">
        <v>61</v>
      </c>
      <c r="K27" s="39" t="s">
        <v>62</v>
      </c>
      <c r="L27" s="40" t="s">
        <v>60</v>
      </c>
      <c r="M27" s="41" t="s">
        <v>61</v>
      </c>
      <c r="O27" s="178"/>
      <c r="P27" s="178"/>
      <c r="Q27" s="180"/>
      <c r="R27" s="182"/>
      <c r="S27" s="184"/>
      <c r="T27" s="36" t="s">
        <v>59</v>
      </c>
      <c r="U27" s="37" t="s">
        <v>60</v>
      </c>
      <c r="V27" s="38" t="s">
        <v>61</v>
      </c>
      <c r="W27" s="39" t="s">
        <v>62</v>
      </c>
      <c r="X27" s="40" t="s">
        <v>60</v>
      </c>
      <c r="Y27" s="41" t="s">
        <v>61</v>
      </c>
    </row>
    <row r="28" spans="3:25" x14ac:dyDescent="0.25">
      <c r="C28" s="14">
        <v>1</v>
      </c>
      <c r="D28" s="14" t="s">
        <v>63</v>
      </c>
      <c r="E28" s="146" t="s">
        <v>64</v>
      </c>
      <c r="F28" s="147"/>
      <c r="G28" s="148"/>
      <c r="H28" s="18">
        <v>7.25</v>
      </c>
      <c r="I28" s="19">
        <f>ROUND(L28/2080,2)</f>
        <v>14.05</v>
      </c>
      <c r="J28" s="19">
        <f>ROUND(M28/2080,2)</f>
        <v>21.08</v>
      </c>
      <c r="K28" s="20">
        <f>L28*0.75</f>
        <v>21918</v>
      </c>
      <c r="L28" s="21">
        <v>29224</v>
      </c>
      <c r="M28" s="22">
        <f>L28*1.5</f>
        <v>43836</v>
      </c>
      <c r="O28" s="14">
        <v>1</v>
      </c>
      <c r="P28" s="14" t="s">
        <v>63</v>
      </c>
      <c r="Q28" s="146" t="s">
        <v>64</v>
      </c>
      <c r="R28" s="147"/>
      <c r="S28" s="148"/>
      <c r="T28" s="18">
        <v>7.25</v>
      </c>
      <c r="U28" s="19">
        <f>ROUND(X28/2080,2)</f>
        <v>15.97</v>
      </c>
      <c r="V28" s="19">
        <f>ROUND(Y28/2080,2)</f>
        <v>23.96</v>
      </c>
      <c r="W28" s="20">
        <f>X28*0.75</f>
        <v>24918</v>
      </c>
      <c r="X28" s="21">
        <v>33224</v>
      </c>
      <c r="Y28" s="22">
        <f>X28*1.5</f>
        <v>49836</v>
      </c>
    </row>
    <row r="29" spans="3:25" x14ac:dyDescent="0.25">
      <c r="C29" s="14">
        <v>2</v>
      </c>
      <c r="D29" s="14" t="s">
        <v>65</v>
      </c>
      <c r="E29" s="23">
        <v>110</v>
      </c>
      <c r="F29" s="24">
        <v>119</v>
      </c>
      <c r="G29" s="25">
        <v>130</v>
      </c>
      <c r="H29" s="18">
        <f>ROUND(K29/2080,2)</f>
        <v>12.16</v>
      </c>
      <c r="I29" s="19">
        <f t="shared" ref="I29:J44" si="8">ROUND(L29/2080,2)</f>
        <v>16.21</v>
      </c>
      <c r="J29" s="19">
        <f t="shared" si="8"/>
        <v>24.32</v>
      </c>
      <c r="K29" s="20">
        <f t="shared" ref="K29:K42" si="9">L29*0.75</f>
        <v>25293</v>
      </c>
      <c r="L29" s="21">
        <v>33724</v>
      </c>
      <c r="M29" s="22">
        <f t="shared" ref="M29:M42" si="10">L29*1.5</f>
        <v>50586</v>
      </c>
      <c r="O29" s="14">
        <v>2</v>
      </c>
      <c r="P29" s="14" t="s">
        <v>65</v>
      </c>
      <c r="Q29" s="23">
        <v>110</v>
      </c>
      <c r="R29" s="24">
        <v>119</v>
      </c>
      <c r="S29" s="25">
        <v>130</v>
      </c>
      <c r="T29" s="18">
        <f>ROUND(W29/2080,2)</f>
        <v>12.16</v>
      </c>
      <c r="U29" s="19">
        <f t="shared" ref="U29:V44" si="11">ROUND(X29/2080,2)</f>
        <v>16.21</v>
      </c>
      <c r="V29" s="19">
        <f t="shared" si="11"/>
        <v>24.32</v>
      </c>
      <c r="W29" s="20">
        <f t="shared" ref="W29:W42" si="12">X29*0.75</f>
        <v>25293</v>
      </c>
      <c r="X29" s="21">
        <v>33724</v>
      </c>
      <c r="Y29" s="22">
        <f t="shared" ref="Y29:Y42" si="13">X29*1.5</f>
        <v>50586</v>
      </c>
    </row>
    <row r="30" spans="3:25" x14ac:dyDescent="0.25">
      <c r="C30" s="14">
        <v>3</v>
      </c>
      <c r="D30" s="14" t="s">
        <v>66</v>
      </c>
      <c r="E30" s="23">
        <v>131</v>
      </c>
      <c r="F30" s="24">
        <v>142</v>
      </c>
      <c r="G30" s="25">
        <v>154</v>
      </c>
      <c r="H30" s="18">
        <f t="shared" ref="H30:H44" si="14">ROUND(K30/2080,2)</f>
        <v>13.42</v>
      </c>
      <c r="I30" s="19">
        <f t="shared" si="8"/>
        <v>17.899999999999999</v>
      </c>
      <c r="J30" s="19">
        <f t="shared" si="8"/>
        <v>26.84</v>
      </c>
      <c r="K30" s="20">
        <f t="shared" si="9"/>
        <v>27918</v>
      </c>
      <c r="L30" s="21">
        <v>37224</v>
      </c>
      <c r="M30" s="22">
        <f t="shared" si="10"/>
        <v>55836</v>
      </c>
      <c r="O30" s="14">
        <v>3</v>
      </c>
      <c r="P30" s="14" t="s">
        <v>66</v>
      </c>
      <c r="Q30" s="23">
        <v>131</v>
      </c>
      <c r="R30" s="24">
        <v>142</v>
      </c>
      <c r="S30" s="25">
        <v>154</v>
      </c>
      <c r="T30" s="18">
        <f t="shared" ref="T30:T44" si="15">ROUND(W30/2080,2)</f>
        <v>13.42</v>
      </c>
      <c r="U30" s="19">
        <f t="shared" si="11"/>
        <v>17.899999999999999</v>
      </c>
      <c r="V30" s="19">
        <f t="shared" si="11"/>
        <v>26.84</v>
      </c>
      <c r="W30" s="20">
        <f t="shared" si="12"/>
        <v>27918</v>
      </c>
      <c r="X30" s="21">
        <v>37224</v>
      </c>
      <c r="Y30" s="22">
        <f t="shared" si="13"/>
        <v>55836</v>
      </c>
    </row>
    <row r="31" spans="3:25" x14ac:dyDescent="0.25">
      <c r="C31" s="14">
        <v>4</v>
      </c>
      <c r="D31" s="14" t="s">
        <v>67</v>
      </c>
      <c r="E31" s="23">
        <v>155</v>
      </c>
      <c r="F31" s="24">
        <v>169</v>
      </c>
      <c r="G31" s="25">
        <v>184</v>
      </c>
      <c r="H31" s="18">
        <f t="shared" si="14"/>
        <v>14.94</v>
      </c>
      <c r="I31" s="19">
        <f t="shared" si="8"/>
        <v>19.920000000000002</v>
      </c>
      <c r="J31" s="19">
        <f t="shared" si="8"/>
        <v>29.87</v>
      </c>
      <c r="K31" s="20">
        <f t="shared" si="9"/>
        <v>31068</v>
      </c>
      <c r="L31" s="21">
        <v>41424</v>
      </c>
      <c r="M31" s="22">
        <f t="shared" si="10"/>
        <v>62136</v>
      </c>
      <c r="O31" s="14">
        <v>4</v>
      </c>
      <c r="P31" s="14" t="s">
        <v>67</v>
      </c>
      <c r="Q31" s="23">
        <v>155</v>
      </c>
      <c r="R31" s="24">
        <v>169</v>
      </c>
      <c r="S31" s="25">
        <v>184</v>
      </c>
      <c r="T31" s="18">
        <f t="shared" si="15"/>
        <v>14.94</v>
      </c>
      <c r="U31" s="19">
        <f t="shared" si="11"/>
        <v>19.920000000000002</v>
      </c>
      <c r="V31" s="19">
        <f t="shared" si="11"/>
        <v>29.87</v>
      </c>
      <c r="W31" s="20">
        <f t="shared" si="12"/>
        <v>31068</v>
      </c>
      <c r="X31" s="21">
        <v>41424</v>
      </c>
      <c r="Y31" s="22">
        <f t="shared" si="13"/>
        <v>62136</v>
      </c>
    </row>
    <row r="32" spans="3:25" x14ac:dyDescent="0.25">
      <c r="C32" s="14">
        <v>5</v>
      </c>
      <c r="D32" s="14" t="s">
        <v>68</v>
      </c>
      <c r="E32" s="23">
        <v>185</v>
      </c>
      <c r="F32" s="24">
        <v>201</v>
      </c>
      <c r="G32" s="25">
        <v>219</v>
      </c>
      <c r="H32" s="18">
        <f t="shared" si="14"/>
        <v>19.12</v>
      </c>
      <c r="I32" s="19">
        <f t="shared" si="8"/>
        <v>25.49</v>
      </c>
      <c r="J32" s="19">
        <f t="shared" si="8"/>
        <v>38.24</v>
      </c>
      <c r="K32" s="20">
        <f t="shared" si="9"/>
        <v>39768</v>
      </c>
      <c r="L32" s="21">
        <v>53024</v>
      </c>
      <c r="M32" s="22">
        <f t="shared" si="10"/>
        <v>79536</v>
      </c>
      <c r="O32" s="14">
        <v>5</v>
      </c>
      <c r="P32" s="14" t="s">
        <v>68</v>
      </c>
      <c r="Q32" s="23">
        <v>185</v>
      </c>
      <c r="R32" s="24">
        <v>201</v>
      </c>
      <c r="S32" s="25">
        <v>219</v>
      </c>
      <c r="T32" s="18">
        <f t="shared" si="15"/>
        <v>18.47</v>
      </c>
      <c r="U32" s="19">
        <f t="shared" si="11"/>
        <v>24.63</v>
      </c>
      <c r="V32" s="19">
        <f t="shared" si="11"/>
        <v>36.94</v>
      </c>
      <c r="W32" s="20">
        <f t="shared" si="12"/>
        <v>38418</v>
      </c>
      <c r="X32" s="21">
        <v>51224</v>
      </c>
      <c r="Y32" s="22">
        <f t="shared" si="13"/>
        <v>76836</v>
      </c>
    </row>
    <row r="33" spans="3:25" x14ac:dyDescent="0.25">
      <c r="C33" s="14">
        <v>6</v>
      </c>
      <c r="D33" s="14" t="s">
        <v>69</v>
      </c>
      <c r="E33" s="23">
        <v>220</v>
      </c>
      <c r="F33" s="24">
        <v>240</v>
      </c>
      <c r="G33" s="25">
        <v>262</v>
      </c>
      <c r="H33" s="18">
        <f t="shared" si="14"/>
        <v>21.1</v>
      </c>
      <c r="I33" s="19">
        <f t="shared" si="8"/>
        <v>28.14</v>
      </c>
      <c r="J33" s="19">
        <f t="shared" si="8"/>
        <v>42.2</v>
      </c>
      <c r="K33" s="20">
        <f t="shared" si="9"/>
        <v>43893</v>
      </c>
      <c r="L33" s="21">
        <v>58524</v>
      </c>
      <c r="M33" s="22">
        <f t="shared" si="10"/>
        <v>87786</v>
      </c>
      <c r="O33" s="14">
        <v>6</v>
      </c>
      <c r="P33" s="14" t="s">
        <v>69</v>
      </c>
      <c r="Q33" s="23">
        <v>220</v>
      </c>
      <c r="R33" s="24">
        <v>240</v>
      </c>
      <c r="S33" s="25">
        <v>262</v>
      </c>
      <c r="T33" s="18">
        <f t="shared" si="15"/>
        <v>21.72</v>
      </c>
      <c r="U33" s="19">
        <f t="shared" si="11"/>
        <v>28.95</v>
      </c>
      <c r="V33" s="19">
        <f t="shared" si="11"/>
        <v>43.43</v>
      </c>
      <c r="W33" s="20">
        <f t="shared" si="12"/>
        <v>45168</v>
      </c>
      <c r="X33" s="21">
        <v>60224</v>
      </c>
      <c r="Y33" s="22">
        <f t="shared" si="13"/>
        <v>90336</v>
      </c>
    </row>
    <row r="34" spans="3:25" x14ac:dyDescent="0.25">
      <c r="C34" s="14">
        <v>7</v>
      </c>
      <c r="D34" s="14" t="s">
        <v>70</v>
      </c>
      <c r="E34" s="23">
        <v>263</v>
      </c>
      <c r="F34" s="24">
        <v>286</v>
      </c>
      <c r="G34" s="25">
        <v>312</v>
      </c>
      <c r="H34" s="18">
        <f t="shared" si="14"/>
        <v>23.48</v>
      </c>
      <c r="I34" s="19">
        <f t="shared" si="8"/>
        <v>31.31</v>
      </c>
      <c r="J34" s="19">
        <f t="shared" si="8"/>
        <v>46.96</v>
      </c>
      <c r="K34" s="20">
        <f t="shared" si="9"/>
        <v>48843</v>
      </c>
      <c r="L34" s="21">
        <v>65124</v>
      </c>
      <c r="M34" s="22">
        <f t="shared" si="10"/>
        <v>97686</v>
      </c>
      <c r="O34" s="14">
        <v>7</v>
      </c>
      <c r="P34" s="14" t="s">
        <v>70</v>
      </c>
      <c r="Q34" s="23">
        <v>263</v>
      </c>
      <c r="R34" s="24">
        <v>286</v>
      </c>
      <c r="S34" s="25">
        <v>312</v>
      </c>
      <c r="T34" s="18">
        <f t="shared" si="15"/>
        <v>23.73</v>
      </c>
      <c r="U34" s="19">
        <f t="shared" si="11"/>
        <v>31.65</v>
      </c>
      <c r="V34" s="19">
        <f t="shared" si="11"/>
        <v>47.47</v>
      </c>
      <c r="W34" s="20">
        <f t="shared" si="12"/>
        <v>49368</v>
      </c>
      <c r="X34" s="21">
        <v>65824</v>
      </c>
      <c r="Y34" s="22">
        <f t="shared" si="13"/>
        <v>98736</v>
      </c>
    </row>
    <row r="35" spans="3:25" x14ac:dyDescent="0.25">
      <c r="C35" s="14">
        <v>8</v>
      </c>
      <c r="D35" s="14" t="s">
        <v>71</v>
      </c>
      <c r="E35" s="23">
        <v>313</v>
      </c>
      <c r="F35" s="24">
        <v>341</v>
      </c>
      <c r="G35" s="25">
        <v>372</v>
      </c>
      <c r="H35" s="18">
        <f t="shared" si="14"/>
        <v>26.33</v>
      </c>
      <c r="I35" s="19">
        <f t="shared" si="8"/>
        <v>35.11</v>
      </c>
      <c r="J35" s="19">
        <f t="shared" si="8"/>
        <v>52.66</v>
      </c>
      <c r="K35" s="20">
        <f t="shared" si="9"/>
        <v>54768</v>
      </c>
      <c r="L35" s="21">
        <v>73024</v>
      </c>
      <c r="M35" s="22">
        <f t="shared" si="10"/>
        <v>109536</v>
      </c>
      <c r="O35" s="14">
        <v>8</v>
      </c>
      <c r="P35" s="14" t="s">
        <v>71</v>
      </c>
      <c r="Q35" s="23">
        <v>313</v>
      </c>
      <c r="R35" s="24">
        <v>341</v>
      </c>
      <c r="S35" s="25">
        <v>372</v>
      </c>
      <c r="T35" s="18">
        <f t="shared" si="15"/>
        <v>26.11</v>
      </c>
      <c r="U35" s="19">
        <f t="shared" si="11"/>
        <v>34.82</v>
      </c>
      <c r="V35" s="19">
        <f t="shared" si="11"/>
        <v>52.23</v>
      </c>
      <c r="W35" s="20">
        <f t="shared" si="12"/>
        <v>54318</v>
      </c>
      <c r="X35" s="21">
        <v>72424</v>
      </c>
      <c r="Y35" s="22">
        <f t="shared" si="13"/>
        <v>108636</v>
      </c>
    </row>
    <row r="36" spans="3:25" x14ac:dyDescent="0.25">
      <c r="C36" s="14">
        <v>9</v>
      </c>
      <c r="D36" s="14" t="s">
        <v>72</v>
      </c>
      <c r="E36" s="23">
        <v>373</v>
      </c>
      <c r="F36" s="24">
        <v>406</v>
      </c>
      <c r="G36" s="25">
        <v>443</v>
      </c>
      <c r="H36" s="18">
        <f t="shared" si="14"/>
        <v>29.72</v>
      </c>
      <c r="I36" s="19">
        <f t="shared" si="8"/>
        <v>39.630000000000003</v>
      </c>
      <c r="J36" s="19">
        <f t="shared" si="8"/>
        <v>59.44</v>
      </c>
      <c r="K36" s="20">
        <f t="shared" si="9"/>
        <v>61818</v>
      </c>
      <c r="L36" s="21">
        <v>82424</v>
      </c>
      <c r="M36" s="22">
        <f t="shared" si="10"/>
        <v>123636</v>
      </c>
      <c r="O36" s="14">
        <v>9</v>
      </c>
      <c r="P36" s="14" t="s">
        <v>72</v>
      </c>
      <c r="Q36" s="23">
        <v>373</v>
      </c>
      <c r="R36" s="24">
        <v>406</v>
      </c>
      <c r="S36" s="25">
        <v>443</v>
      </c>
      <c r="T36" s="18">
        <f t="shared" si="15"/>
        <v>29</v>
      </c>
      <c r="U36" s="19">
        <f t="shared" si="11"/>
        <v>38.67</v>
      </c>
      <c r="V36" s="19">
        <f t="shared" si="11"/>
        <v>58</v>
      </c>
      <c r="W36" s="20">
        <f t="shared" si="12"/>
        <v>60318</v>
      </c>
      <c r="X36" s="21">
        <v>80424</v>
      </c>
      <c r="Y36" s="22">
        <f t="shared" si="13"/>
        <v>120636</v>
      </c>
    </row>
    <row r="37" spans="3:25" x14ac:dyDescent="0.25">
      <c r="C37" s="14">
        <v>10</v>
      </c>
      <c r="D37" s="14" t="s">
        <v>73</v>
      </c>
      <c r="E37" s="23">
        <v>444</v>
      </c>
      <c r="F37" s="24">
        <v>485</v>
      </c>
      <c r="G37" s="25">
        <v>528</v>
      </c>
      <c r="H37" s="18">
        <f t="shared" si="14"/>
        <v>33.9</v>
      </c>
      <c r="I37" s="19">
        <f t="shared" si="8"/>
        <v>45.2</v>
      </c>
      <c r="J37" s="19">
        <f t="shared" si="8"/>
        <v>67.81</v>
      </c>
      <c r="K37" s="20">
        <f t="shared" si="9"/>
        <v>70518</v>
      </c>
      <c r="L37" s="21">
        <v>94024</v>
      </c>
      <c r="M37" s="22">
        <f t="shared" si="10"/>
        <v>141036</v>
      </c>
      <c r="O37" s="14">
        <v>10</v>
      </c>
      <c r="P37" s="14" t="s">
        <v>73</v>
      </c>
      <c r="Q37" s="23">
        <v>444</v>
      </c>
      <c r="R37" s="24">
        <v>485</v>
      </c>
      <c r="S37" s="25">
        <v>528</v>
      </c>
      <c r="T37" s="18">
        <f t="shared" si="15"/>
        <v>32.39</v>
      </c>
      <c r="U37" s="19">
        <f t="shared" si="11"/>
        <v>43.18</v>
      </c>
      <c r="V37" s="19">
        <f t="shared" si="11"/>
        <v>64.78</v>
      </c>
      <c r="W37" s="20">
        <f t="shared" si="12"/>
        <v>67368</v>
      </c>
      <c r="X37" s="21">
        <v>89824</v>
      </c>
      <c r="Y37" s="22">
        <f t="shared" si="13"/>
        <v>134736</v>
      </c>
    </row>
    <row r="38" spans="3:25" x14ac:dyDescent="0.25">
      <c r="C38" s="14">
        <v>11</v>
      </c>
      <c r="D38" s="14" t="s">
        <v>74</v>
      </c>
      <c r="E38" s="23">
        <v>529</v>
      </c>
      <c r="F38" s="24">
        <v>578</v>
      </c>
      <c r="G38" s="25">
        <v>630</v>
      </c>
      <c r="H38" s="18">
        <f t="shared" si="14"/>
        <v>38.840000000000003</v>
      </c>
      <c r="I38" s="19">
        <f t="shared" si="8"/>
        <v>51.79</v>
      </c>
      <c r="J38" s="19">
        <f t="shared" si="8"/>
        <v>77.69</v>
      </c>
      <c r="K38" s="20">
        <f t="shared" si="9"/>
        <v>80793</v>
      </c>
      <c r="L38" s="21">
        <v>107724</v>
      </c>
      <c r="M38" s="22">
        <f t="shared" si="10"/>
        <v>161586</v>
      </c>
      <c r="O38" s="14">
        <v>11</v>
      </c>
      <c r="P38" s="14" t="s">
        <v>74</v>
      </c>
      <c r="Q38" s="23">
        <v>529</v>
      </c>
      <c r="R38" s="24">
        <v>578</v>
      </c>
      <c r="S38" s="25">
        <v>630</v>
      </c>
      <c r="T38" s="18">
        <f t="shared" si="15"/>
        <v>36.46</v>
      </c>
      <c r="U38" s="19">
        <f t="shared" si="11"/>
        <v>48.62</v>
      </c>
      <c r="V38" s="19">
        <f t="shared" si="11"/>
        <v>72.930000000000007</v>
      </c>
      <c r="W38" s="20">
        <f t="shared" si="12"/>
        <v>75843</v>
      </c>
      <c r="X38" s="21">
        <v>101124</v>
      </c>
      <c r="Y38" s="22">
        <f t="shared" si="13"/>
        <v>151686</v>
      </c>
    </row>
    <row r="39" spans="3:25" x14ac:dyDescent="0.25">
      <c r="C39" s="14">
        <v>12</v>
      </c>
      <c r="D39" s="14" t="s">
        <v>75</v>
      </c>
      <c r="E39" s="23">
        <v>631</v>
      </c>
      <c r="F39" s="24">
        <v>688</v>
      </c>
      <c r="G39" s="25">
        <v>750</v>
      </c>
      <c r="H39" s="18">
        <f t="shared" si="14"/>
        <v>42.2</v>
      </c>
      <c r="I39" s="19">
        <f t="shared" si="8"/>
        <v>56.26</v>
      </c>
      <c r="J39" s="19">
        <f t="shared" si="8"/>
        <v>84.39</v>
      </c>
      <c r="K39" s="20">
        <f t="shared" si="9"/>
        <v>87768</v>
      </c>
      <c r="L39" s="21">
        <v>117024</v>
      </c>
      <c r="M39" s="22">
        <f t="shared" si="10"/>
        <v>175536</v>
      </c>
      <c r="O39" s="14">
        <v>12</v>
      </c>
      <c r="P39" s="14" t="s">
        <v>75</v>
      </c>
      <c r="Q39" s="23">
        <v>631</v>
      </c>
      <c r="R39" s="24">
        <v>688</v>
      </c>
      <c r="S39" s="25">
        <v>750</v>
      </c>
      <c r="T39" s="18">
        <f t="shared" si="15"/>
        <v>40.68</v>
      </c>
      <c r="U39" s="19">
        <f t="shared" si="11"/>
        <v>54.24</v>
      </c>
      <c r="V39" s="19">
        <f t="shared" si="11"/>
        <v>81.36</v>
      </c>
      <c r="W39" s="20">
        <f t="shared" si="12"/>
        <v>84618</v>
      </c>
      <c r="X39" s="21">
        <v>112824</v>
      </c>
      <c r="Y39" s="22">
        <f t="shared" si="13"/>
        <v>169236</v>
      </c>
    </row>
    <row r="40" spans="3:25" x14ac:dyDescent="0.25">
      <c r="C40" s="14">
        <v>13</v>
      </c>
      <c r="D40" s="14" t="s">
        <v>76</v>
      </c>
      <c r="E40" s="23">
        <v>751</v>
      </c>
      <c r="F40" s="24">
        <v>828</v>
      </c>
      <c r="G40" s="25">
        <f>ROUND(F40*1.092,0)</f>
        <v>904</v>
      </c>
      <c r="H40" s="18">
        <f t="shared" si="14"/>
        <v>46.31</v>
      </c>
      <c r="I40" s="19">
        <f t="shared" si="8"/>
        <v>61.74</v>
      </c>
      <c r="J40" s="19">
        <f t="shared" si="8"/>
        <v>92.61</v>
      </c>
      <c r="K40" s="20">
        <f t="shared" si="9"/>
        <v>96318</v>
      </c>
      <c r="L40" s="21">
        <v>128424</v>
      </c>
      <c r="M40" s="22">
        <f t="shared" si="10"/>
        <v>192636</v>
      </c>
      <c r="O40" s="14">
        <v>13</v>
      </c>
      <c r="P40" s="14" t="s">
        <v>76</v>
      </c>
      <c r="Q40" s="23">
        <v>751</v>
      </c>
      <c r="R40" s="24">
        <v>828</v>
      </c>
      <c r="S40" s="25">
        <f>ROUND(R40*1.092,0)</f>
        <v>904</v>
      </c>
      <c r="T40" s="18">
        <f t="shared" si="15"/>
        <v>45.95</v>
      </c>
      <c r="U40" s="19">
        <f t="shared" si="11"/>
        <v>61.26</v>
      </c>
      <c r="V40" s="19">
        <f t="shared" si="11"/>
        <v>91.89</v>
      </c>
      <c r="W40" s="20">
        <f t="shared" si="12"/>
        <v>95568</v>
      </c>
      <c r="X40" s="21">
        <v>127424</v>
      </c>
      <c r="Y40" s="22">
        <f t="shared" si="13"/>
        <v>191136</v>
      </c>
    </row>
    <row r="41" spans="3:25" x14ac:dyDescent="0.25">
      <c r="C41" s="14">
        <v>14</v>
      </c>
      <c r="D41" s="14" t="s">
        <v>77</v>
      </c>
      <c r="E41" s="23">
        <v>905</v>
      </c>
      <c r="F41" s="24">
        <v>998</v>
      </c>
      <c r="G41" s="25">
        <f>ROUND(F41*1.0925,0)</f>
        <v>1090</v>
      </c>
      <c r="H41" s="18">
        <f t="shared" si="14"/>
        <v>51.43</v>
      </c>
      <c r="I41" s="19">
        <f t="shared" si="8"/>
        <v>68.569999999999993</v>
      </c>
      <c r="J41" s="19">
        <f t="shared" si="8"/>
        <v>102.85</v>
      </c>
      <c r="K41" s="20">
        <f t="shared" si="9"/>
        <v>106968</v>
      </c>
      <c r="L41" s="21">
        <v>142624</v>
      </c>
      <c r="M41" s="22">
        <f t="shared" si="10"/>
        <v>213936</v>
      </c>
      <c r="O41" s="14">
        <v>14</v>
      </c>
      <c r="P41" s="14" t="s">
        <v>77</v>
      </c>
      <c r="Q41" s="23">
        <v>905</v>
      </c>
      <c r="R41" s="24">
        <v>998</v>
      </c>
      <c r="S41" s="25">
        <f>ROUND(R41*1.0925,0)</f>
        <v>1090</v>
      </c>
      <c r="T41" s="18">
        <f t="shared" si="15"/>
        <v>52.44</v>
      </c>
      <c r="U41" s="19">
        <f t="shared" si="11"/>
        <v>69.92</v>
      </c>
      <c r="V41" s="19">
        <f t="shared" si="11"/>
        <v>104.87</v>
      </c>
      <c r="W41" s="20">
        <f t="shared" si="12"/>
        <v>109068</v>
      </c>
      <c r="X41" s="21">
        <v>145424</v>
      </c>
      <c r="Y41" s="22">
        <f t="shared" si="13"/>
        <v>218136</v>
      </c>
    </row>
    <row r="42" spans="3:25" x14ac:dyDescent="0.25">
      <c r="C42" s="14">
        <v>15</v>
      </c>
      <c r="D42" s="14" t="s">
        <v>78</v>
      </c>
      <c r="E42" s="23">
        <f>G41+1</f>
        <v>1091</v>
      </c>
      <c r="F42" s="24">
        <v>1176</v>
      </c>
      <c r="G42" s="25">
        <v>1292</v>
      </c>
      <c r="H42" s="18">
        <f t="shared" si="14"/>
        <v>58.85</v>
      </c>
      <c r="I42" s="19">
        <f t="shared" si="8"/>
        <v>78.47</v>
      </c>
      <c r="J42" s="19">
        <f t="shared" si="8"/>
        <v>117.71</v>
      </c>
      <c r="K42" s="20">
        <f t="shared" si="9"/>
        <v>122418</v>
      </c>
      <c r="L42" s="21">
        <v>163224</v>
      </c>
      <c r="M42" s="22">
        <f t="shared" si="10"/>
        <v>244836</v>
      </c>
      <c r="O42" s="14">
        <v>15</v>
      </c>
      <c r="P42" s="14" t="s">
        <v>78</v>
      </c>
      <c r="Q42" s="23">
        <f>S41+1</f>
        <v>1091</v>
      </c>
      <c r="R42" s="24">
        <v>1176</v>
      </c>
      <c r="S42" s="25">
        <v>1292</v>
      </c>
      <c r="T42" s="18">
        <f t="shared" si="15"/>
        <v>58.85</v>
      </c>
      <c r="U42" s="19">
        <f t="shared" si="11"/>
        <v>78.47</v>
      </c>
      <c r="V42" s="19">
        <f t="shared" si="11"/>
        <v>117.71</v>
      </c>
      <c r="W42" s="20">
        <f t="shared" si="12"/>
        <v>122418</v>
      </c>
      <c r="X42" s="21">
        <v>163224</v>
      </c>
      <c r="Y42" s="22">
        <f t="shared" si="13"/>
        <v>244836</v>
      </c>
    </row>
    <row r="43" spans="3:25" x14ac:dyDescent="0.25">
      <c r="C43" s="14">
        <v>17</v>
      </c>
      <c r="D43" s="14" t="s">
        <v>79</v>
      </c>
      <c r="E43" s="23">
        <v>1532</v>
      </c>
      <c r="F43" s="24">
        <v>1665</v>
      </c>
      <c r="G43" s="25">
        <f>ROUND(F43*1.094,0)</f>
        <v>1822</v>
      </c>
      <c r="H43" s="18">
        <f t="shared" si="14"/>
        <v>67.87</v>
      </c>
      <c r="I43" s="19">
        <f t="shared" si="8"/>
        <v>90.49</v>
      </c>
      <c r="J43" s="19">
        <f t="shared" si="8"/>
        <v>135.74</v>
      </c>
      <c r="K43" s="20">
        <f>L43*0.75</f>
        <v>141168</v>
      </c>
      <c r="L43" s="21">
        <v>188224</v>
      </c>
      <c r="M43" s="22">
        <f>L43*1.5</f>
        <v>282336</v>
      </c>
      <c r="O43" s="14">
        <v>17</v>
      </c>
      <c r="P43" s="14" t="s">
        <v>79</v>
      </c>
      <c r="Q43" s="23">
        <v>1532</v>
      </c>
      <c r="R43" s="24">
        <v>1665</v>
      </c>
      <c r="S43" s="25">
        <f>ROUND(R43*1.094,0)</f>
        <v>1822</v>
      </c>
      <c r="T43" s="18">
        <f t="shared" si="15"/>
        <v>67.87</v>
      </c>
      <c r="U43" s="19">
        <f t="shared" si="11"/>
        <v>90.49</v>
      </c>
      <c r="V43" s="19">
        <f t="shared" si="11"/>
        <v>135.74</v>
      </c>
      <c r="W43" s="20">
        <f>X43*0.75</f>
        <v>141168</v>
      </c>
      <c r="X43" s="21">
        <v>188224</v>
      </c>
      <c r="Y43" s="22">
        <f>X43*1.5</f>
        <v>282336</v>
      </c>
    </row>
    <row r="44" spans="3:25" ht="15.75" thickBot="1" x14ac:dyDescent="0.3">
      <c r="C44" s="26">
        <v>19</v>
      </c>
      <c r="D44" s="26" t="s">
        <v>80</v>
      </c>
      <c r="E44" s="27">
        <v>2167</v>
      </c>
      <c r="F44" s="28">
        <v>2354</v>
      </c>
      <c r="G44" s="29">
        <f>ROUND(F44*1.094,0)</f>
        <v>2575</v>
      </c>
      <c r="H44" s="30">
        <f t="shared" si="14"/>
        <v>82.29</v>
      </c>
      <c r="I44" s="31">
        <f t="shared" si="8"/>
        <v>109.72</v>
      </c>
      <c r="J44" s="32">
        <f>ROUND(M44/2080,2)</f>
        <v>164.58</v>
      </c>
      <c r="K44" s="33">
        <f>L44*0.75</f>
        <v>171168</v>
      </c>
      <c r="L44" s="34">
        <v>228224</v>
      </c>
      <c r="M44" s="35">
        <f>L44*1.5</f>
        <v>342336</v>
      </c>
      <c r="O44" s="26">
        <v>19</v>
      </c>
      <c r="P44" s="26" t="s">
        <v>80</v>
      </c>
      <c r="Q44" s="27">
        <v>2167</v>
      </c>
      <c r="R44" s="28">
        <v>2354</v>
      </c>
      <c r="S44" s="29">
        <f>ROUND(R44*1.094,0)</f>
        <v>2575</v>
      </c>
      <c r="T44" s="30">
        <f t="shared" si="15"/>
        <v>82.29</v>
      </c>
      <c r="U44" s="31">
        <f t="shared" si="11"/>
        <v>109.72</v>
      </c>
      <c r="V44" s="32">
        <f>ROUND(Y44/2080,2)</f>
        <v>164.58</v>
      </c>
      <c r="W44" s="33">
        <f>X44*0.75</f>
        <v>171168</v>
      </c>
      <c r="X44" s="34">
        <v>228224</v>
      </c>
      <c r="Y44" s="35">
        <f>X44*1.5</f>
        <v>342336</v>
      </c>
    </row>
  </sheetData>
  <mergeCells count="32">
    <mergeCell ref="C3:C4"/>
    <mergeCell ref="D3:D4"/>
    <mergeCell ref="E3:E4"/>
    <mergeCell ref="F3:F4"/>
    <mergeCell ref="G3:G4"/>
    <mergeCell ref="C26:C27"/>
    <mergeCell ref="D26:D27"/>
    <mergeCell ref="E26:E27"/>
    <mergeCell ref="F26:F27"/>
    <mergeCell ref="G26:G27"/>
    <mergeCell ref="E28:G28"/>
    <mergeCell ref="O3:O4"/>
    <mergeCell ref="P3:P4"/>
    <mergeCell ref="Q3:Q4"/>
    <mergeCell ref="R3:R4"/>
    <mergeCell ref="Q28:S28"/>
    <mergeCell ref="K3:M3"/>
    <mergeCell ref="E5:G5"/>
    <mergeCell ref="H26:J26"/>
    <mergeCell ref="K26:M26"/>
    <mergeCell ref="H3:J3"/>
    <mergeCell ref="T3:V3"/>
    <mergeCell ref="W3:Y3"/>
    <mergeCell ref="Q5:S5"/>
    <mergeCell ref="O26:O27"/>
    <mergeCell ref="P26:P27"/>
    <mergeCell ref="Q26:Q27"/>
    <mergeCell ref="R26:R27"/>
    <mergeCell ref="S26:S27"/>
    <mergeCell ref="T26:V26"/>
    <mergeCell ref="W26:Y26"/>
    <mergeCell ref="S3:S4"/>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DFB7A1-8883-4638-B00D-28C5D2D90539}">
  <dimension ref="A1:D6"/>
  <sheetViews>
    <sheetView workbookViewId="0"/>
  </sheetViews>
  <sheetFormatPr defaultRowHeight="15" x14ac:dyDescent="0.25"/>
  <cols>
    <col min="1" max="1" width="20.7109375" bestFit="1" customWidth="1"/>
    <col min="2" max="2" width="15.140625" bestFit="1" customWidth="1"/>
    <col min="3" max="3" width="16" bestFit="1" customWidth="1"/>
    <col min="4" max="4" width="17.7109375" bestFit="1" customWidth="1"/>
  </cols>
  <sheetData>
    <row r="1" spans="1:4" x14ac:dyDescent="0.25">
      <c r="A1" t="s">
        <v>0</v>
      </c>
      <c r="B1" t="s">
        <v>1</v>
      </c>
      <c r="C1" t="s">
        <v>2</v>
      </c>
      <c r="D1" t="s">
        <v>11</v>
      </c>
    </row>
    <row r="2" spans="1:4" x14ac:dyDescent="0.25">
      <c r="A2" t="s">
        <v>149</v>
      </c>
      <c r="B2" t="s">
        <v>12</v>
      </c>
      <c r="C2" t="s">
        <v>50</v>
      </c>
      <c r="D2" s="3">
        <v>0</v>
      </c>
    </row>
    <row r="3" spans="1:4" x14ac:dyDescent="0.25">
      <c r="A3" t="s">
        <v>148</v>
      </c>
      <c r="B3" t="s">
        <v>14</v>
      </c>
      <c r="C3" t="s">
        <v>13</v>
      </c>
      <c r="D3" s="3">
        <v>0</v>
      </c>
    </row>
    <row r="4" spans="1:4" x14ac:dyDescent="0.25">
      <c r="C4" t="s">
        <v>15</v>
      </c>
      <c r="D4" s="3">
        <v>1.05</v>
      </c>
    </row>
    <row r="5" spans="1:4" x14ac:dyDescent="0.25">
      <c r="C5" t="s">
        <v>16</v>
      </c>
      <c r="D5" s="3">
        <v>1.3</v>
      </c>
    </row>
    <row r="6" spans="1:4" x14ac:dyDescent="0.25">
      <c r="C6" t="s">
        <v>17</v>
      </c>
      <c r="D6" s="3">
        <v>1.55</v>
      </c>
    </row>
  </sheetData>
  <pageMargins left="0.7" right="0.7" top="0.75" bottom="0.75" header="0.3" footer="0.3"/>
</worksheet>
</file>

<file path=docMetadata/LabelInfo.xml><?xml version="1.0" encoding="utf-8"?>
<clbl:labelList xmlns:clbl="http://schemas.microsoft.com/office/2020/mipLabelMetadata">
  <clbl:label id="{c53b7a63-2d6e-4d96-87c9-9f583f6d1c81}" enabled="0" method="" siteId="{c53b7a63-2d6e-4d96-87c9-9f583f6d1c81}"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Instructions</vt:lpstr>
      <vt:lpstr>Summary</vt:lpstr>
      <vt:lpstr>Staff</vt:lpstr>
      <vt:lpstr>FY25 Pay Schedules</vt:lpstr>
      <vt:lpstr>FY26 Pay Schedules</vt:lpstr>
      <vt:lpstr>Tables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Christopher Davis</dc:creator>
  <cp:lastModifiedBy>Christopher Davis</cp:lastModifiedBy>
  <dcterms:created xsi:type="dcterms:W3CDTF">2025-04-02T02:04:17Z</dcterms:created>
  <dcterms:modified xsi:type="dcterms:W3CDTF">2025-04-16T20:26:34Z</dcterms:modified>
</cp:coreProperties>
</file>